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lulob\Desktop\1.Work\2. EiiF\Projects\TBi\Development\"/>
    </mc:Choice>
  </mc:AlternateContent>
  <xr:revisionPtr revIDLastSave="0" documentId="13_ncr:1_{DF294CA6-7061-4B1B-9F41-09923A5000F6}" xr6:coauthVersionLast="36" xr6:coauthVersionMax="36" xr10:uidLastSave="{00000000-0000-0000-0000-000000000000}"/>
  <bookViews>
    <workbookView xWindow="0" yWindow="0" windowWidth="23040" windowHeight="9048" tabRatio="941" firstSheet="9" activeTab="22" xr2:uid="{65F169AB-B0B0-468E-8621-D627354F2DD4}"/>
  </bookViews>
  <sheets>
    <sheet name="Structure" sheetId="52" r:id="rId1"/>
    <sheet name="Summary v2" sheetId="60" r:id="rId2"/>
    <sheet name="Summary" sheetId="54" r:id="rId3"/>
    <sheet name="TBi" sheetId="14" r:id="rId4"/>
    <sheet name="Project " sheetId="57" r:id="rId5"/>
    <sheet name="Intro" sheetId="42" r:id="rId6"/>
    <sheet name="Selection" sheetId="13" r:id="rId7"/>
    <sheet name="Safety report" sheetId="43" r:id="rId8"/>
    <sheet name="Maintenance report" sheetId="44" r:id="rId9"/>
    <sheet name="basic report " sheetId="51" r:id="rId10"/>
    <sheet name="Surface" sheetId="5" r:id="rId11"/>
    <sheet name="Pipe" sheetId="10" r:id="rId12"/>
    <sheet name="Flange" sheetId="27" r:id="rId13"/>
    <sheet name="Valve" sheetId="28" r:id="rId14"/>
    <sheet name="Unknow surface" sheetId="29" r:id="rId15"/>
    <sheet name="I Surface" sheetId="17" r:id="rId16"/>
    <sheet name="I Pipe" sheetId="19" r:id="rId17"/>
    <sheet name="Insulated Unknown surface" sheetId="33" r:id="rId18"/>
    <sheet name="Damaged" sheetId="31" r:id="rId19"/>
    <sheet name="Energy" sheetId="34" r:id="rId20"/>
    <sheet name="Condensation" sheetId="35" r:id="rId21"/>
    <sheet name="Leakage" sheetId="47" r:id="rId22"/>
    <sheet name="Summary default values " sheetId="58" r:id="rId23"/>
    <sheet name="Default values " sheetId="4" r:id="rId24"/>
    <sheet name="Warning list " sheetId="16" r:id="rId25"/>
    <sheet name="TBi advise" sheetId="59" r:id="rId26"/>
    <sheet name="todo" sheetId="38" r:id="rId27"/>
    <sheet name="Andreas" sheetId="39" r:id="rId28"/>
  </sheets>
  <externalReferences>
    <externalReference r:id="rId29"/>
  </externalReferences>
  <definedNames>
    <definedName name="_3000_hours">'Default values '!$F$2:$F$6</definedName>
    <definedName name="emissivity">'Default values '!$A$2:$A$8</definedName>
    <definedName name="operational_time">'Default values '!$C$2:$C$11</definedName>
    <definedName name="Safety_risk">'Default values '!$F$1:$F$6</definedName>
    <definedName name="Surface_emisivity">'Default values '!$A$3:$A$8</definedName>
  </definedNames>
  <calcPr calcId="17902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E55" i="27" l="1"/>
  <c r="R47" i="19" l="1"/>
  <c r="F49" i="28"/>
  <c r="E49" i="28"/>
  <c r="F49" i="10"/>
  <c r="E49" i="10"/>
  <c r="F49" i="27"/>
  <c r="E49" i="27"/>
  <c r="E49" i="5"/>
  <c r="R72" i="28" l="1"/>
  <c r="V13" i="60" l="1"/>
  <c r="C13" i="60"/>
  <c r="P130" i="19" l="1"/>
  <c r="P129" i="19"/>
  <c r="P128" i="19"/>
  <c r="Q120" i="28"/>
  <c r="Q119" i="28"/>
  <c r="Q118" i="28"/>
  <c r="L45" i="28"/>
  <c r="L46" i="28" s="1"/>
  <c r="L47" i="28" s="1"/>
  <c r="L47" i="27"/>
  <c r="L46" i="27"/>
  <c r="L45" i="27"/>
  <c r="Q120" i="27"/>
  <c r="Q119" i="27"/>
  <c r="Q118" i="27"/>
  <c r="C63" i="5"/>
  <c r="K104" i="33" l="1"/>
  <c r="P118" i="10"/>
  <c r="P119" i="10"/>
  <c r="E14" i="58"/>
  <c r="C15" i="54" l="1"/>
  <c r="C9" i="54"/>
  <c r="H13" i="54"/>
  <c r="H11" i="54"/>
  <c r="C13" i="54"/>
  <c r="C11" i="54"/>
  <c r="P120" i="10" l="1"/>
  <c r="O21" i="54"/>
  <c r="K45" i="28" l="1"/>
  <c r="E47" i="17" l="1"/>
  <c r="F47" i="17"/>
  <c r="G47" i="17"/>
  <c r="M47" i="17"/>
  <c r="C40" i="29"/>
  <c r="P5" i="5"/>
  <c r="H45" i="5" s="1"/>
  <c r="F45" i="5"/>
  <c r="E45" i="5"/>
  <c r="C45" i="5"/>
  <c r="A45" i="5"/>
  <c r="F52" i="5" l="1"/>
  <c r="F49" i="5"/>
  <c r="F50" i="5" s="1"/>
  <c r="F51" i="5" s="1"/>
  <c r="E50" i="5"/>
  <c r="E51" i="5" s="1"/>
  <c r="K45" i="5"/>
  <c r="E52" i="5"/>
  <c r="Q4" i="47"/>
  <c r="E54" i="5" l="1"/>
  <c r="R71" i="28"/>
  <c r="C63" i="28"/>
  <c r="K46" i="28"/>
  <c r="K47" i="28" s="1"/>
  <c r="H45" i="28"/>
  <c r="H46" i="28" s="1"/>
  <c r="H47" i="28" s="1"/>
  <c r="G45" i="28"/>
  <c r="E45" i="28"/>
  <c r="E46" i="28" s="1"/>
  <c r="E47" i="28" s="1"/>
  <c r="C45" i="28"/>
  <c r="D45" i="28" s="1"/>
  <c r="A45" i="28"/>
  <c r="Q20" i="28"/>
  <c r="H17" i="28"/>
  <c r="Q16" i="28"/>
  <c r="Q14" i="28"/>
  <c r="P5" i="28"/>
  <c r="F52" i="28" l="1"/>
  <c r="F53" i="28" s="1"/>
  <c r="D47" i="28" s="1"/>
  <c r="E52" i="28"/>
  <c r="E53" i="28" s="1"/>
  <c r="E56" i="28" s="1"/>
  <c r="J45" i="28"/>
  <c r="J46" i="28" s="1"/>
  <c r="J47" i="28" s="1"/>
  <c r="I45" i="28"/>
  <c r="I46" i="28" s="1"/>
  <c r="I47" i="28" s="1"/>
  <c r="N45" i="28"/>
  <c r="G46" i="28"/>
  <c r="G47" i="28" s="1"/>
  <c r="O45" i="28"/>
  <c r="P45" i="28"/>
  <c r="N47" i="28" l="1"/>
  <c r="M45" i="28"/>
  <c r="Q45" i="28" s="1"/>
  <c r="R45" i="28" s="1"/>
  <c r="S45" i="28" s="1"/>
  <c r="T45" i="28" s="1"/>
  <c r="M47" i="28"/>
  <c r="P47" i="28"/>
  <c r="O47" i="28"/>
  <c r="E50" i="28"/>
  <c r="E51" i="28" s="1"/>
  <c r="F51" i="28" s="1"/>
  <c r="F54" i="28" s="1"/>
  <c r="F50" i="28"/>
  <c r="D46" i="28"/>
  <c r="N46" i="28" s="1"/>
  <c r="M46" i="28"/>
  <c r="P46" i="28"/>
  <c r="E55" i="28" l="1"/>
  <c r="U45" i="28"/>
  <c r="Q47" i="28"/>
  <c r="E54" i="28"/>
  <c r="O46" i="28"/>
  <c r="Q46" i="28" s="1"/>
  <c r="R46" i="28" s="1"/>
  <c r="R47" i="28" l="1"/>
  <c r="S47" i="28" s="1"/>
  <c r="T47" i="28" s="1"/>
  <c r="S46" i="28"/>
  <c r="T46" i="28" s="1"/>
  <c r="O14" i="28"/>
  <c r="J13" i="54" l="1"/>
  <c r="E13" i="60"/>
  <c r="U47" i="28"/>
  <c r="W47" i="28" s="1"/>
  <c r="P20" i="28" s="1"/>
  <c r="V47" i="28"/>
  <c r="P18" i="28" s="1"/>
  <c r="O54" i="28"/>
  <c r="M25" i="28" s="1"/>
  <c r="U46" i="28"/>
  <c r="W46" i="28" s="1"/>
  <c r="V46" i="28"/>
  <c r="O18" i="28" s="1"/>
  <c r="G13" i="60" s="1"/>
  <c r="O16" i="28"/>
  <c r="E14" i="60" s="1"/>
  <c r="L13" i="54" l="1"/>
  <c r="H13" i="60"/>
  <c r="L14" i="54"/>
  <c r="H14" i="60"/>
  <c r="J14" i="54"/>
  <c r="K13" i="54"/>
  <c r="Q18" i="28"/>
  <c r="O20" i="28"/>
  <c r="G14" i="60" s="1"/>
  <c r="E45" i="27"/>
  <c r="Q16" i="29"/>
  <c r="Q20" i="29"/>
  <c r="Q18" i="29"/>
  <c r="K14" i="54" l="1"/>
  <c r="H17" i="35"/>
  <c r="M25" i="35" s="1"/>
  <c r="P5" i="35"/>
  <c r="H56" i="34"/>
  <c r="G73" i="34" s="1"/>
  <c r="G74" i="34" s="1"/>
  <c r="P44" i="34"/>
  <c r="H73" i="34" s="1"/>
  <c r="F73" i="34"/>
  <c r="F74" i="34" s="1"/>
  <c r="E73" i="34"/>
  <c r="D73" i="34"/>
  <c r="D74" i="34" s="1"/>
  <c r="C73" i="34"/>
  <c r="C74" i="34" s="1"/>
  <c r="A73" i="34"/>
  <c r="R99" i="34"/>
  <c r="R98" i="34"/>
  <c r="C90" i="34"/>
  <c r="I73" i="34"/>
  <c r="I74" i="34" s="1"/>
  <c r="M64" i="34"/>
  <c r="Q55" i="34"/>
  <c r="O55" i="34"/>
  <c r="O53" i="34"/>
  <c r="M57" i="34" s="1"/>
  <c r="K73" i="34" l="1"/>
  <c r="M13" i="35"/>
  <c r="M16" i="35"/>
  <c r="J73" i="34"/>
  <c r="L73" i="34" s="1"/>
  <c r="M73" i="34" s="1"/>
  <c r="M53" i="34"/>
  <c r="Q53" i="34"/>
  <c r="E74" i="34"/>
  <c r="E79" i="34"/>
  <c r="E76" i="34"/>
  <c r="E77" i="34" s="1"/>
  <c r="E78" i="34" s="1"/>
  <c r="H74" i="34"/>
  <c r="Q20" i="33"/>
  <c r="Q18" i="33"/>
  <c r="Q16" i="33"/>
  <c r="G46" i="33"/>
  <c r="F46" i="33"/>
  <c r="E46" i="33"/>
  <c r="I45" i="33"/>
  <c r="I46" i="33" s="1"/>
  <c r="F45" i="33"/>
  <c r="E45" i="33"/>
  <c r="K45" i="33" s="1"/>
  <c r="D45" i="33"/>
  <c r="C45" i="33"/>
  <c r="C46" i="33" s="1"/>
  <c r="A45" i="33"/>
  <c r="B46" i="33" s="1"/>
  <c r="H17" i="33"/>
  <c r="G45" i="33" s="1"/>
  <c r="J45" i="33" s="1"/>
  <c r="L45" i="33" s="1"/>
  <c r="M45" i="33" s="1"/>
  <c r="P5" i="33"/>
  <c r="H45" i="33" s="1"/>
  <c r="H46" i="33" s="1"/>
  <c r="Q16" i="19"/>
  <c r="Q14" i="19"/>
  <c r="M14" i="19"/>
  <c r="H16" i="31"/>
  <c r="M25" i="31" s="1"/>
  <c r="P5" i="31"/>
  <c r="M25" i="29"/>
  <c r="F40" i="29"/>
  <c r="E40" i="29"/>
  <c r="E43" i="29" s="1"/>
  <c r="D40" i="29"/>
  <c r="A40" i="29"/>
  <c r="J74" i="34" l="1"/>
  <c r="K74" i="34"/>
  <c r="K46" i="33"/>
  <c r="K40" i="29"/>
  <c r="E80" i="34"/>
  <c r="N73" i="34"/>
  <c r="O73" i="34" s="1"/>
  <c r="E81" i="34"/>
  <c r="D46" i="33"/>
  <c r="N45" i="33"/>
  <c r="J46" i="33"/>
  <c r="M13" i="31"/>
  <c r="M15" i="31"/>
  <c r="R66" i="29"/>
  <c r="R65" i="29"/>
  <c r="C57" i="29"/>
  <c r="C41" i="29"/>
  <c r="I40" i="29"/>
  <c r="I41" i="29" s="1"/>
  <c r="F41" i="29"/>
  <c r="H17" i="29"/>
  <c r="P5" i="29"/>
  <c r="H40" i="29" l="1"/>
  <c r="H41" i="29" s="1"/>
  <c r="L46" i="33"/>
  <c r="M74" i="34"/>
  <c r="N74" i="34" s="1"/>
  <c r="P74" i="34" s="1"/>
  <c r="G40" i="29"/>
  <c r="E82" i="34"/>
  <c r="O59" i="34"/>
  <c r="Q59" i="34" s="1"/>
  <c r="L74" i="34"/>
  <c r="O57" i="34"/>
  <c r="Q57" i="34" s="1"/>
  <c r="O45" i="33"/>
  <c r="O14" i="33"/>
  <c r="T45" i="33"/>
  <c r="E44" i="29"/>
  <c r="E45" i="29" s="1"/>
  <c r="D41" i="29"/>
  <c r="E41" i="29"/>
  <c r="K41" i="29" s="1"/>
  <c r="E46" i="29"/>
  <c r="R72" i="27"/>
  <c r="R71" i="27"/>
  <c r="C63" i="27"/>
  <c r="K45" i="27"/>
  <c r="K46" i="27" s="1"/>
  <c r="K47" i="27" s="1"/>
  <c r="H45" i="27"/>
  <c r="G45" i="27"/>
  <c r="C45" i="27"/>
  <c r="D45" i="27" s="1"/>
  <c r="A45" i="27"/>
  <c r="Q20" i="27"/>
  <c r="H17" i="27"/>
  <c r="Q16" i="27"/>
  <c r="Q14" i="27"/>
  <c r="P5" i="27"/>
  <c r="H46" i="27" l="1"/>
  <c r="H47" i="27" s="1"/>
  <c r="E48" i="29"/>
  <c r="M46" i="33"/>
  <c r="T46" i="33" s="1"/>
  <c r="Q14" i="33"/>
  <c r="M18" i="33"/>
  <c r="J40" i="29"/>
  <c r="L40" i="29" s="1"/>
  <c r="G41" i="29"/>
  <c r="J41" i="29" s="1"/>
  <c r="E52" i="27"/>
  <c r="E53" i="27" s="1"/>
  <c r="F52" i="27"/>
  <c r="F53" i="27" s="1"/>
  <c r="J45" i="27"/>
  <c r="J46" i="27" s="1"/>
  <c r="J47" i="27" s="1"/>
  <c r="I45" i="27"/>
  <c r="I46" i="27" s="1"/>
  <c r="I47" i="27" s="1"/>
  <c r="P45" i="27"/>
  <c r="N45" i="27"/>
  <c r="O45" i="27"/>
  <c r="M80" i="34"/>
  <c r="O74" i="34"/>
  <c r="Q74" i="34" s="1"/>
  <c r="M14" i="33"/>
  <c r="O16" i="33"/>
  <c r="G46" i="27"/>
  <c r="E46" i="27"/>
  <c r="E47" i="27" s="1"/>
  <c r="C45" i="19"/>
  <c r="D45" i="19" s="1"/>
  <c r="N46" i="33" l="1"/>
  <c r="G47" i="27"/>
  <c r="M45" i="27"/>
  <c r="Q45" i="27" s="1"/>
  <c r="R45" i="27" s="1"/>
  <c r="S45" i="27" s="1"/>
  <c r="M40" i="29"/>
  <c r="N40" i="29" s="1"/>
  <c r="E47" i="29"/>
  <c r="M41" i="29" s="1"/>
  <c r="M47" i="27"/>
  <c r="P47" i="27"/>
  <c r="E50" i="27"/>
  <c r="E51" i="27" s="1"/>
  <c r="F51" i="27" s="1"/>
  <c r="F54" i="27" s="1"/>
  <c r="F50" i="27"/>
  <c r="E56" i="27"/>
  <c r="D47" i="27"/>
  <c r="M46" i="27"/>
  <c r="P46" i="27"/>
  <c r="L41" i="29"/>
  <c r="D46" i="27"/>
  <c r="N46" i="27" s="1"/>
  <c r="N47" i="27" l="1"/>
  <c r="T45" i="27"/>
  <c r="O46" i="33"/>
  <c r="Q48" i="33" s="1"/>
  <c r="P48" i="33"/>
  <c r="O18" i="33" s="1"/>
  <c r="N41" i="29"/>
  <c r="E49" i="29"/>
  <c r="O47" i="27"/>
  <c r="Q47" i="27" s="1"/>
  <c r="R47" i="27" s="1"/>
  <c r="S47" i="27" s="1"/>
  <c r="T47" i="27" s="1"/>
  <c r="E54" i="27"/>
  <c r="O14" i="29"/>
  <c r="O46" i="27"/>
  <c r="O40" i="29"/>
  <c r="C45" i="10"/>
  <c r="D45" i="10" s="1"/>
  <c r="O20" i="33" l="1"/>
  <c r="M25" i="33"/>
  <c r="U47" i="27"/>
  <c r="M18" i="29"/>
  <c r="O41" i="29"/>
  <c r="Q41" i="29" s="1"/>
  <c r="O20" i="29" s="1"/>
  <c r="P41" i="29"/>
  <c r="O18" i="29" s="1"/>
  <c r="U45" i="27"/>
  <c r="V47" i="27"/>
  <c r="P18" i="27" s="1"/>
  <c r="H11" i="60" s="1"/>
  <c r="Q14" i="29"/>
  <c r="O14" i="27"/>
  <c r="E11" i="60" s="1"/>
  <c r="O16" i="29"/>
  <c r="M14" i="29"/>
  <c r="Q46" i="27"/>
  <c r="R46" i="27" s="1"/>
  <c r="S46" i="27" s="1"/>
  <c r="T46" i="27" s="1"/>
  <c r="O54" i="27" l="1"/>
  <c r="M25" i="27" s="1"/>
  <c r="L11" i="54"/>
  <c r="J11" i="54"/>
  <c r="O16" i="27"/>
  <c r="E12" i="60" s="1"/>
  <c r="W47" i="27"/>
  <c r="P20" i="27" s="1"/>
  <c r="U46" i="27"/>
  <c r="W46" i="27" s="1"/>
  <c r="Q20" i="10"/>
  <c r="Q16" i="10"/>
  <c r="Q14" i="10"/>
  <c r="A45" i="10"/>
  <c r="L12" i="54" l="1"/>
  <c r="H12" i="60"/>
  <c r="J12" i="54"/>
  <c r="O20" i="27"/>
  <c r="G12" i="60" s="1"/>
  <c r="V46" i="27"/>
  <c r="O18" i="27" s="1"/>
  <c r="G11" i="60" s="1"/>
  <c r="K11" i="54" l="1"/>
  <c r="K12" i="54"/>
  <c r="Q18" i="27"/>
  <c r="X52" i="19"/>
  <c r="I46" i="19"/>
  <c r="G46" i="17"/>
  <c r="H46" i="19"/>
  <c r="G46" i="19"/>
  <c r="K45" i="19"/>
  <c r="K46" i="19" s="1"/>
  <c r="H45" i="19"/>
  <c r="G45" i="19"/>
  <c r="F45" i="19"/>
  <c r="F46" i="19" s="1"/>
  <c r="F47" i="19" s="1"/>
  <c r="E45" i="19"/>
  <c r="E46" i="19" s="1"/>
  <c r="E47" i="19" s="1"/>
  <c r="D46" i="19"/>
  <c r="D47" i="19" s="1"/>
  <c r="A45" i="19"/>
  <c r="H17" i="19"/>
  <c r="P5" i="19"/>
  <c r="F46" i="17"/>
  <c r="R72" i="10"/>
  <c r="R71" i="10"/>
  <c r="R72" i="5"/>
  <c r="R71" i="5"/>
  <c r="O46" i="19" l="1"/>
  <c r="I45" i="19"/>
  <c r="L45" i="19" s="1"/>
  <c r="J45" i="19"/>
  <c r="J46" i="19" s="1"/>
  <c r="O45" i="19"/>
  <c r="M45" i="19"/>
  <c r="N45" i="19"/>
  <c r="M46" i="19"/>
  <c r="N46" i="19"/>
  <c r="N48" i="19"/>
  <c r="L46" i="19"/>
  <c r="O48" i="19"/>
  <c r="W57" i="19"/>
  <c r="X57" i="19" s="1"/>
  <c r="Y57" i="19" l="1"/>
  <c r="Y58" i="19" s="1"/>
  <c r="P48" i="19"/>
  <c r="P46" i="19"/>
  <c r="P45" i="19"/>
  <c r="Q46" i="19" l="1"/>
  <c r="R46" i="19" s="1"/>
  <c r="Q48" i="19"/>
  <c r="R48" i="19" s="1"/>
  <c r="Q45" i="19"/>
  <c r="R45" i="19" s="1"/>
  <c r="W45" i="19" s="1"/>
  <c r="Y45" i="19" s="1"/>
  <c r="S46" i="19" l="1"/>
  <c r="T46" i="19" s="1"/>
  <c r="S45" i="19"/>
  <c r="X45" i="19"/>
  <c r="W46" i="19"/>
  <c r="X46" i="19" s="1"/>
  <c r="E46" i="17"/>
  <c r="S47" i="19" l="1"/>
  <c r="T47" i="19" s="1"/>
  <c r="W47" i="19"/>
  <c r="X47" i="19" s="1"/>
  <c r="K46" i="17"/>
  <c r="T45" i="19"/>
  <c r="O14" i="19"/>
  <c r="U48" i="19"/>
  <c r="O18" i="19" s="1"/>
  <c r="C63" i="10"/>
  <c r="U49" i="19" l="1"/>
  <c r="P18" i="19" s="1"/>
  <c r="O16" i="19"/>
  <c r="V49" i="19"/>
  <c r="Q20" i="19"/>
  <c r="M18" i="19"/>
  <c r="Q18" i="19"/>
  <c r="V48" i="19"/>
  <c r="G45" i="10"/>
  <c r="K45" i="10"/>
  <c r="K46" i="10" s="1"/>
  <c r="K47" i="10" s="1"/>
  <c r="H45" i="10"/>
  <c r="H46" i="10" s="1"/>
  <c r="H47" i="10" s="1"/>
  <c r="E45" i="10"/>
  <c r="F52" i="10" l="1"/>
  <c r="E52" i="10"/>
  <c r="E53" i="10" s="1"/>
  <c r="E56" i="10" s="1"/>
  <c r="P20" i="19"/>
  <c r="O20" i="19"/>
  <c r="F53" i="10"/>
  <c r="M25" i="19"/>
  <c r="N45" i="10"/>
  <c r="O45" i="10"/>
  <c r="M45" i="10"/>
  <c r="G46" i="10"/>
  <c r="E46" i="10"/>
  <c r="E47" i="10" s="1"/>
  <c r="D45" i="17"/>
  <c r="F45" i="17"/>
  <c r="E45" i="17"/>
  <c r="C45" i="17"/>
  <c r="C46" i="17" s="1"/>
  <c r="C47" i="17" s="1"/>
  <c r="A45" i="17"/>
  <c r="I45" i="17"/>
  <c r="H17" i="17"/>
  <c r="P5" i="17"/>
  <c r="F50" i="10" l="1"/>
  <c r="E50" i="10"/>
  <c r="E51" i="10" s="1"/>
  <c r="F51" i="10" s="1"/>
  <c r="F54" i="10"/>
  <c r="G47" i="10"/>
  <c r="D47" i="10"/>
  <c r="D46" i="10"/>
  <c r="M46" i="10" s="1"/>
  <c r="O46" i="10"/>
  <c r="G45" i="17"/>
  <c r="J45" i="17" s="1"/>
  <c r="H45" i="17"/>
  <c r="H46" i="17" s="1"/>
  <c r="H47" i="17" s="1"/>
  <c r="N47" i="17" s="1"/>
  <c r="K45" i="17"/>
  <c r="I46" i="17"/>
  <c r="I47" i="17" s="1"/>
  <c r="D46" i="17"/>
  <c r="J46" i="17"/>
  <c r="D47" i="17" l="1"/>
  <c r="T47" i="17" s="1"/>
  <c r="O47" i="17"/>
  <c r="M47" i="10"/>
  <c r="E54" i="10"/>
  <c r="O47" i="10"/>
  <c r="N47" i="10"/>
  <c r="N46" i="10"/>
  <c r="L46" i="17"/>
  <c r="L45" i="17"/>
  <c r="M45" i="17" s="1"/>
  <c r="M46" i="17" l="1"/>
  <c r="T46" i="17" s="1"/>
  <c r="T45" i="17"/>
  <c r="N46" i="17" l="1"/>
  <c r="O46" i="17" s="1"/>
  <c r="N45" i="17"/>
  <c r="P49" i="17" l="1"/>
  <c r="P18" i="17" s="1"/>
  <c r="P48" i="17"/>
  <c r="O14" i="17"/>
  <c r="O18" i="17"/>
  <c r="O45" i="17"/>
  <c r="H17" i="5"/>
  <c r="G45" i="5" s="1"/>
  <c r="J45" i="5" s="1"/>
  <c r="I45" i="5"/>
  <c r="I46" i="5" s="1"/>
  <c r="I47" i="5" s="1"/>
  <c r="K9" i="54" l="1"/>
  <c r="J9" i="54"/>
  <c r="L9" i="54"/>
  <c r="Q48" i="17"/>
  <c r="O20" i="17" s="1"/>
  <c r="Q49" i="17"/>
  <c r="P20" i="17" s="1"/>
  <c r="M18" i="17"/>
  <c r="Q18" i="17"/>
  <c r="M14" i="17"/>
  <c r="Q14" i="17"/>
  <c r="O16" i="17"/>
  <c r="L10" i="54" l="1"/>
  <c r="J10" i="54"/>
  <c r="Q20" i="17"/>
  <c r="K10" i="54"/>
  <c r="M25" i="17"/>
  <c r="Q16" i="17"/>
  <c r="H17" i="10" l="1"/>
  <c r="P5" i="10"/>
  <c r="J45" i="10" s="1"/>
  <c r="J46" i="10" s="1"/>
  <c r="J47" i="10" s="1"/>
  <c r="I45" i="10" l="1"/>
  <c r="L45" i="10" s="1"/>
  <c r="E46" i="5" l="1"/>
  <c r="F46" i="5"/>
  <c r="F47" i="5" s="1"/>
  <c r="P45" i="10"/>
  <c r="Q45" i="10" s="1"/>
  <c r="R45" i="10" s="1"/>
  <c r="I46" i="10"/>
  <c r="G46" i="5"/>
  <c r="G47" i="5" s="1"/>
  <c r="J46" i="5" l="1"/>
  <c r="S45" i="10"/>
  <c r="E55" i="10"/>
  <c r="K46" i="5"/>
  <c r="E47" i="5"/>
  <c r="J47" i="5" s="1"/>
  <c r="I47" i="10"/>
  <c r="L47" i="10" s="1"/>
  <c r="P47" i="10" s="1"/>
  <c r="Q47" i="10" s="1"/>
  <c r="R47" i="10" s="1"/>
  <c r="L46" i="10"/>
  <c r="P46" i="10" s="1"/>
  <c r="Q46" i="10" s="1"/>
  <c r="H46" i="5"/>
  <c r="H47" i="5" s="1"/>
  <c r="L45" i="5"/>
  <c r="M45" i="5" s="1"/>
  <c r="L46" i="5" l="1"/>
  <c r="E53" i="5" s="1"/>
  <c r="M46" i="5" s="1"/>
  <c r="E55" i="5"/>
  <c r="N45" i="5"/>
  <c r="R46" i="10"/>
  <c r="S46" i="10" s="1"/>
  <c r="T46" i="10" s="1"/>
  <c r="K47" i="5"/>
  <c r="L47" i="5" s="1"/>
  <c r="F53" i="5" s="1"/>
  <c r="F54" i="5"/>
  <c r="S47" i="10"/>
  <c r="T47" i="10" s="1"/>
  <c r="C46" i="5"/>
  <c r="O54" i="10" l="1"/>
  <c r="M25" i="10" s="1"/>
  <c r="M53" i="5"/>
  <c r="N46" i="5"/>
  <c r="P46" i="5" s="1"/>
  <c r="C47" i="5"/>
  <c r="M47" i="5"/>
  <c r="U46" i="10"/>
  <c r="O18" i="10" s="1"/>
  <c r="G15" i="60" s="1"/>
  <c r="U47" i="10"/>
  <c r="P18" i="10" s="1"/>
  <c r="O14" i="10"/>
  <c r="T45" i="10"/>
  <c r="J15" i="54" l="1"/>
  <c r="E15" i="60"/>
  <c r="L15" i="54"/>
  <c r="H15" i="60"/>
  <c r="N47" i="5"/>
  <c r="O47" i="5" s="1"/>
  <c r="Q18" i="10"/>
  <c r="K15" i="54"/>
  <c r="O14" i="5"/>
  <c r="M25" i="5"/>
  <c r="O16" i="10"/>
  <c r="V47" i="10"/>
  <c r="P20" i="10" s="1"/>
  <c r="O46" i="5"/>
  <c r="V46" i="10"/>
  <c r="O20" i="10" s="1"/>
  <c r="O45" i="5"/>
  <c r="M14" i="5" l="1"/>
  <c r="E9" i="60"/>
  <c r="H19" i="60" s="1"/>
  <c r="L16" i="54"/>
  <c r="O23" i="54" s="1"/>
  <c r="H16" i="60"/>
  <c r="J16" i="54"/>
  <c r="E16" i="60"/>
  <c r="K16" i="54"/>
  <c r="G16" i="60"/>
  <c r="P47" i="5"/>
  <c r="P18" i="5" s="1"/>
  <c r="H9" i="60" s="1"/>
  <c r="V19" i="60" s="1"/>
  <c r="Q47" i="5"/>
  <c r="P20" i="5" s="1"/>
  <c r="H10" i="60" s="1"/>
  <c r="V21" i="60" s="1"/>
  <c r="O16" i="5"/>
  <c r="E10" i="60" s="1"/>
  <c r="H21" i="60" s="1"/>
  <c r="Q46" i="5"/>
  <c r="M18" i="5"/>
  <c r="Q14" i="5"/>
  <c r="O18" i="5" l="1"/>
  <c r="O20" i="5"/>
  <c r="Q16" i="5"/>
  <c r="Q20" i="5" l="1"/>
  <c r="G10" i="60"/>
  <c r="S21" i="60" s="1"/>
  <c r="Q18" i="5"/>
  <c r="G9" i="60"/>
  <c r="S19" i="60" s="1"/>
</calcChain>
</file>

<file path=xl/sharedStrings.xml><?xml version="1.0" encoding="utf-8"?>
<sst xmlns="http://schemas.openxmlformats.org/spreadsheetml/2006/main" count="1621" uniqueCount="519">
  <si>
    <t xml:space="preserve">DATE  </t>
  </si>
  <si>
    <t>ENERGY PRICE</t>
  </si>
  <si>
    <t>SURFACES</t>
  </si>
  <si>
    <t>FLANGES</t>
  </si>
  <si>
    <t>VALVES</t>
  </si>
  <si>
    <t xml:space="preserve">Component </t>
  </si>
  <si>
    <t>Up to ten pictures</t>
  </si>
  <si>
    <t xml:space="preserve">Surface 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</si>
  <si>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</si>
  <si>
    <t>Metallic  ε=0,6</t>
  </si>
  <si>
    <t>Corroded ε=0,8</t>
  </si>
  <si>
    <t>Painted ε=0,8</t>
  </si>
  <si>
    <t>Free input</t>
  </si>
  <si>
    <t>Metallic bright  ε=0,3</t>
  </si>
  <si>
    <t>hr</t>
  </si>
  <si>
    <t xml:space="preserve">Operational time </t>
  </si>
  <si>
    <t xml:space="preserve">Component / Location </t>
  </si>
  <si>
    <t>emissivity</t>
  </si>
  <si>
    <t xml:space="preserve">operation hours </t>
  </si>
  <si>
    <t>2000 hours</t>
  </si>
  <si>
    <t>7000 hours</t>
  </si>
  <si>
    <t>5000 hours</t>
  </si>
  <si>
    <t>6000 hours</t>
  </si>
  <si>
    <t>°C</t>
  </si>
  <si>
    <t>€</t>
  </si>
  <si>
    <t>Non metallic ε=0,9</t>
  </si>
  <si>
    <t>Window help to calculate surfaces</t>
  </si>
  <si>
    <t>hse</t>
  </si>
  <si>
    <t>q3
W/m2</t>
  </si>
  <si>
    <t>hcv turbulent</t>
  </si>
  <si>
    <t>θse
Surface temp</t>
  </si>
  <si>
    <t xml:space="preserve">θa
Amb temp </t>
  </si>
  <si>
    <t>q3*op_time*surface</t>
  </si>
  <si>
    <t>4380 hours (1/2 year)</t>
  </si>
  <si>
    <t>8760 hours (full year)</t>
  </si>
  <si>
    <t>Luis Lopez Brunner</t>
  </si>
  <si>
    <t>Operational time in hr</t>
  </si>
  <si>
    <t>Surface in m²</t>
  </si>
  <si>
    <t>Emissivity</t>
  </si>
  <si>
    <t>Ambient Temp.</t>
  </si>
  <si>
    <t>Burner /L6</t>
  </si>
  <si>
    <t>Surface Temp.</t>
  </si>
  <si>
    <t>Medium Temp.</t>
  </si>
  <si>
    <t>θi
Medium temp</t>
  </si>
  <si>
    <t xml:space="preserve">Heat Loss </t>
  </si>
  <si>
    <t>€/a</t>
  </si>
  <si>
    <t xml:space="preserve">Potential savings </t>
  </si>
  <si>
    <t>Medium Temp</t>
  </si>
  <si>
    <t>Ambient  Temp</t>
  </si>
  <si>
    <t>Surfarce Temp</t>
  </si>
  <si>
    <t>Valve 20456</t>
  </si>
  <si>
    <t>Total potential savings</t>
  </si>
  <si>
    <t xml:space="preserve">Assumptions </t>
  </si>
  <si>
    <t xml:space="preserve">PIPES </t>
  </si>
  <si>
    <t>mm</t>
  </si>
  <si>
    <t xml:space="preserve">Length </t>
  </si>
  <si>
    <t>m</t>
  </si>
  <si>
    <t>a</t>
  </si>
  <si>
    <t>b</t>
  </si>
  <si>
    <t>c</t>
  </si>
  <si>
    <t>d</t>
  </si>
  <si>
    <t>θm</t>
  </si>
  <si>
    <r>
      <rPr>
        <sz val="11"/>
        <color theme="1"/>
        <rFont val="Times New Roman"/>
        <family val="1"/>
      </rPr>
      <t>λ</t>
    </r>
    <r>
      <rPr>
        <vertAlign val="subscript"/>
        <sz val="11"/>
        <color theme="1"/>
        <rFont val="Times New Roman"/>
        <family val="1"/>
      </rPr>
      <t>m</t>
    </r>
  </si>
  <si>
    <t>Ft</t>
  </si>
  <si>
    <t xml:space="preserve">Insulation thickness </t>
  </si>
  <si>
    <t>W/mK</t>
  </si>
  <si>
    <r>
      <t>λ</t>
    </r>
    <r>
      <rPr>
        <b/>
        <vertAlign val="subscript"/>
        <sz val="11"/>
        <color theme="1"/>
        <rFont val="Times New Roman"/>
        <family val="1"/>
      </rPr>
      <t>des</t>
    </r>
  </si>
  <si>
    <t xml:space="preserve">value at higher temperature, conservative calculation </t>
  </si>
  <si>
    <t>Energy price €/kWh</t>
  </si>
  <si>
    <t>Op Time in hr</t>
  </si>
  <si>
    <t>Savings</t>
  </si>
  <si>
    <t>kWh</t>
  </si>
  <si>
    <t>€/m2</t>
  </si>
  <si>
    <t>years</t>
  </si>
  <si>
    <t xml:space="preserve">Ref Payback time </t>
  </si>
  <si>
    <t>C</t>
  </si>
  <si>
    <r>
      <t>•</t>
    </r>
    <r>
      <rPr>
        <sz val="18"/>
        <color rgb="FF000000"/>
        <rFont val="Calibri"/>
        <family val="2"/>
        <scheme val="minor"/>
      </rPr>
      <t xml:space="preserve">Measured temperature is always lower than medium temperature – conservative </t>
    </r>
  </si>
  <si>
    <r>
      <t>•</t>
    </r>
    <r>
      <rPr>
        <sz val="18"/>
        <color rgb="FF000000"/>
        <rFont val="Calibri"/>
        <family val="2"/>
        <scheme val="minor"/>
      </rPr>
      <t>Wind speed = 0 m/s – conservative</t>
    </r>
  </si>
  <si>
    <r>
      <t>•</t>
    </r>
    <r>
      <rPr>
        <sz val="18"/>
        <color rgb="FF000000"/>
        <rFont val="Calibri"/>
        <family val="2"/>
        <scheme val="minor"/>
      </rPr>
      <t>Always turbulent - H^3Δθ&gt;10</t>
    </r>
  </si>
  <si>
    <r>
      <t>•</t>
    </r>
    <r>
      <rPr>
        <sz val="18"/>
        <color rgb="FF000000"/>
        <rFont val="Calibri"/>
        <family val="2"/>
        <scheme val="minor"/>
      </rPr>
      <t>Energy saving calculations based on only 20 mm or 50 mm insulation depending on Δθ, (internal number not known by the user). Two options:</t>
    </r>
  </si>
  <si>
    <t xml:space="preserve">(hse = un-ins hse - conservative), </t>
  </si>
  <si>
    <r>
      <t>§</t>
    </r>
    <r>
      <rPr>
        <sz val="18"/>
        <color rgb="FF000000"/>
        <rFont val="Calibri"/>
        <family val="2"/>
        <scheme val="minor"/>
      </rPr>
      <t>Fixed values based on calculations (surfaces emissivity 0,5)</t>
    </r>
  </si>
  <si>
    <r>
      <t>•</t>
    </r>
    <r>
      <rPr>
        <sz val="18"/>
        <color rgb="FF000000"/>
        <rFont val="Calibri"/>
        <family val="2"/>
        <scheme val="minor"/>
      </rPr>
      <t xml:space="preserve"> Δθ &lt; 25°C (20mm)                -  75 % HL saving</t>
    </r>
  </si>
  <si>
    <r>
      <t>•</t>
    </r>
    <r>
      <rPr>
        <sz val="18"/>
        <color rgb="FF000000"/>
        <rFont val="Calibri"/>
        <family val="2"/>
        <scheme val="minor"/>
      </rPr>
      <t>25°C &lt; Δθ &lt; 100°C  (20mm)-   80 % HL saving</t>
    </r>
  </si>
  <si>
    <r>
      <t>•</t>
    </r>
    <r>
      <rPr>
        <sz val="18"/>
        <color rgb="FF000000"/>
        <rFont val="Calibri"/>
        <family val="2"/>
        <scheme val="minor"/>
      </rPr>
      <t xml:space="preserve">100°C &lt; Δθ   (50mm)            -  90 % HL saving </t>
    </r>
  </si>
  <si>
    <r>
      <t>•</t>
    </r>
    <r>
      <rPr>
        <sz val="18"/>
        <color rgb="FF000000"/>
        <rFont val="Calibri"/>
        <family val="2"/>
        <scheme val="minor"/>
      </rPr>
      <t>Recommendation – safety first , two options</t>
    </r>
  </si>
  <si>
    <r>
      <t>•</t>
    </r>
    <r>
      <rPr>
        <sz val="18"/>
        <color rgb="FF000000"/>
        <rFont val="Calibri"/>
        <family val="2"/>
        <scheme val="minor"/>
      </rPr>
      <t xml:space="preserve"> based on payback calculation 5years and 80 €/m2 (internal number not known by the user)</t>
    </r>
  </si>
  <si>
    <r>
      <t>•</t>
    </r>
    <r>
      <rPr>
        <sz val="18"/>
        <color rgb="FF000000"/>
        <rFont val="Calibri"/>
        <family val="2"/>
        <scheme val="minor"/>
      </rPr>
      <t>Fixed values depending on Δθ</t>
    </r>
  </si>
  <si>
    <t>ε</t>
  </si>
  <si>
    <r>
      <t xml:space="preserve">Default value for </t>
    </r>
    <r>
      <rPr>
        <sz val="10"/>
        <color theme="1"/>
        <rFont val="Times New Roman"/>
        <family val="1"/>
      </rPr>
      <t>ε =</t>
    </r>
  </si>
  <si>
    <t xml:space="preserve"> Boltzmann cte σ=</t>
  </si>
  <si>
    <r>
      <t>Δ</t>
    </r>
    <r>
      <rPr>
        <sz val="10"/>
        <color theme="1"/>
        <rFont val="Times New Roman"/>
        <family val="1"/>
      </rPr>
      <t xml:space="preserve">θ &lt; </t>
    </r>
  </si>
  <si>
    <t>Eiif default values - only access for Eiif , updated with new versions</t>
  </si>
  <si>
    <t>q3*op_time*surf*€</t>
  </si>
  <si>
    <t>Q   
kWh</t>
  </si>
  <si>
    <t>Q 
 €</t>
  </si>
  <si>
    <r>
      <t xml:space="preserve">Safety warning for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se&gt;</t>
    </r>
  </si>
  <si>
    <t>•Up to 300 °C</t>
  </si>
  <si>
    <t>ENERGY</t>
  </si>
  <si>
    <t>PROJECT</t>
  </si>
  <si>
    <t>h</t>
  </si>
  <si>
    <t xml:space="preserve">Making points &amp; temperatures </t>
  </si>
  <si>
    <t xml:space="preserve">             See the different making point temperatures, or introduce themif there is no picture. Calcualte the average for calculations. Free input if there is no info </t>
  </si>
  <si>
    <t>p1</t>
  </si>
  <si>
    <t>p2</t>
  </si>
  <si>
    <t>p3</t>
  </si>
  <si>
    <t>P4</t>
  </si>
  <si>
    <t>up to 10</t>
  </si>
  <si>
    <t>N90323</t>
  </si>
  <si>
    <t>Surface Material</t>
  </si>
  <si>
    <t>ref</t>
  </si>
  <si>
    <t xml:space="preserve">saving </t>
  </si>
  <si>
    <t>De (m)</t>
  </si>
  <si>
    <t>Length (m)</t>
  </si>
  <si>
    <t>hcv H laminar turbulent</t>
  </si>
  <si>
    <t>hcv H turbulent</t>
  </si>
  <si>
    <t xml:space="preserve">Laminar /turbulent 
Laminar free cv De^3Δθ&lt;10
</t>
  </si>
  <si>
    <t>Rle</t>
  </si>
  <si>
    <t xml:space="preserve">max heat loss for a payback of predifined Cpb </t>
  </si>
  <si>
    <t>Default values for calcualtions</t>
  </si>
  <si>
    <t xml:space="preserve">Conductivity </t>
  </si>
  <si>
    <t>If there is no info about medium, take surface by default</t>
  </si>
  <si>
    <t>thickness selection</t>
  </si>
  <si>
    <t xml:space="preserve">q ref-pb </t>
  </si>
  <si>
    <t xml:space="preserve">Cpb=investment/payback </t>
  </si>
  <si>
    <t xml:space="preserve">Criteria </t>
  </si>
  <si>
    <t>Surface</t>
  </si>
  <si>
    <t>Pipe</t>
  </si>
  <si>
    <t>Flange</t>
  </si>
  <si>
    <t>Valve</t>
  </si>
  <si>
    <t xml:space="preserve">Work flow </t>
  </si>
  <si>
    <t xml:space="preserve">Action </t>
  </si>
  <si>
    <t xml:space="preserve">no calculation </t>
  </si>
  <si>
    <t>x</t>
  </si>
  <si>
    <t xml:space="preserve">I Surface </t>
  </si>
  <si>
    <t xml:space="preserve">I Pipe </t>
  </si>
  <si>
    <t xml:space="preserve">If operational time is empty </t>
  </si>
  <si>
    <t xml:space="preserve">If surface is empty </t>
  </si>
  <si>
    <t>If ambient temperature is empty</t>
  </si>
  <si>
    <t xml:space="preserve">If surface temperature is empty </t>
  </si>
  <si>
    <t xml:space="preserve">Cpb surface </t>
  </si>
  <si>
    <t>m2/m</t>
  </si>
  <si>
    <t>same default values as surface</t>
  </si>
  <si>
    <t>3000 hours</t>
  </si>
  <si>
    <t xml:space="preserve">1000 hours </t>
  </si>
  <si>
    <t xml:space="preserve">free input </t>
  </si>
  <si>
    <t>Defaul value ε=0,8</t>
  </si>
  <si>
    <t>Cpb surface/pipe</t>
  </si>
  <si>
    <t xml:space="preserve">Cpb valve and flanges </t>
  </si>
  <si>
    <t xml:space="preserve">ql ref-pb </t>
  </si>
  <si>
    <t>ql3
W/l</t>
  </si>
  <si>
    <t>Criteria for Insulated, θse ref</t>
  </si>
  <si>
    <t>θa ref</t>
  </si>
  <si>
    <t>It is not part of Tbi tool. It is an external eiif table</t>
  </si>
  <si>
    <t>Insulation cost surface /pipe</t>
  </si>
  <si>
    <t xml:space="preserve">Insualtion cost matresses </t>
  </si>
  <si>
    <t xml:space="preserve">€/unit </t>
  </si>
  <si>
    <t>Corf payback cal surface/pipe  - Cpb</t>
  </si>
  <si>
    <t>Coef for payback fitting - Cpbf</t>
  </si>
  <si>
    <t xml:space="preserve">Cpbf fitting </t>
  </si>
  <si>
    <t>NOT Tbi. Eiif table</t>
  </si>
  <si>
    <t>Insulation need in m</t>
  </si>
  <si>
    <r>
      <t xml:space="preserve"> </t>
    </r>
    <r>
      <rPr>
        <sz val="10"/>
        <color theme="1"/>
        <rFont val="Times New Roman"/>
        <family val="1"/>
      </rPr>
      <t>ε ref =</t>
    </r>
  </si>
  <si>
    <t xml:space="preserve">hcv H laminar </t>
  </si>
  <si>
    <r>
      <t>Increase thickness for Rls ref</t>
    </r>
    <r>
      <rPr>
        <sz val="10"/>
        <color theme="1"/>
        <rFont val="Times New Roman"/>
        <family val="1"/>
      </rPr>
      <t xml:space="preserve"> =</t>
    </r>
  </si>
  <si>
    <t>Rl</t>
  </si>
  <si>
    <t>Di</t>
  </si>
  <si>
    <t xml:space="preserve">For Rle ref , same De as component. If increaase insulation thickness , Rle will be lower and have more losses  </t>
  </si>
  <si>
    <t>For pipes system we calculate increasing performance of the insualtion system.</t>
  </si>
  <si>
    <t>DN</t>
  </si>
  <si>
    <t>L</t>
  </si>
  <si>
    <t>Rse</t>
  </si>
  <si>
    <t>Dins</t>
  </si>
  <si>
    <t>Rins</t>
  </si>
  <si>
    <t>π</t>
  </si>
  <si>
    <t>Heat loss</t>
  </si>
  <si>
    <t>Saving potential</t>
  </si>
  <si>
    <t xml:space="preserve">Rins </t>
  </si>
  <si>
    <t>q
W/m2</t>
  </si>
  <si>
    <t>D ins</t>
  </si>
  <si>
    <t>hse calculated with uninsulated temperature, higher temperature -&gt; higher hse -&gt; higher losses</t>
  </si>
  <si>
    <t xml:space="preserve">hse calculated with uninsulated temperature, higher temperature -&gt; higher hse -&gt; higher losses . Incresed of thiskness is integrated for Rsle but not for hse (small impact). Always conservative </t>
  </si>
  <si>
    <t>thers is an internal factor of 0,1 to communicate less</t>
  </si>
  <si>
    <t>max heat loss for a payback of predifined Cpb, multiply for 10000 to pass to W and internal factor of 0,1</t>
  </si>
  <si>
    <t>burner</t>
  </si>
  <si>
    <t>ql3
W/m</t>
  </si>
  <si>
    <t>recommendation  θse-θa</t>
  </si>
  <si>
    <t xml:space="preserve">θse-θa for insulation recommendation </t>
  </si>
  <si>
    <r>
      <t>q=(</t>
    </r>
    <r>
      <rPr>
        <sz val="11"/>
        <color theme="1"/>
        <rFont val="Times New Roman"/>
        <family val="1"/>
      </rPr>
      <t>θse-θa)</t>
    </r>
    <r>
      <rPr>
        <sz val="11"/>
        <color theme="1"/>
        <rFont val="Calibri"/>
        <family val="2"/>
      </rPr>
      <t>/Rle</t>
    </r>
  </si>
  <si>
    <t>€/kWh</t>
  </si>
  <si>
    <t>PIPES</t>
  </si>
  <si>
    <t xml:space="preserve">Same formulas than surface but with 1m2 by default </t>
  </si>
  <si>
    <t xml:space="preserve">Insualtion will reduce the energy comsuption. A further analysis is needed to determine the total potential </t>
  </si>
  <si>
    <t>or</t>
  </si>
  <si>
    <t>Ø</t>
  </si>
  <si>
    <t xml:space="preserve">or </t>
  </si>
  <si>
    <t>*</t>
  </si>
  <si>
    <t>*only wall</t>
  </si>
  <si>
    <t>Main dimension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</si>
  <si>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  <r>
      <rPr>
        <b/>
        <sz val="16"/>
        <color theme="0"/>
        <rFont val="Calibri"/>
        <family val="2"/>
        <scheme val="minor"/>
      </rPr>
      <t xml:space="preserve"> or  </t>
    </r>
  </si>
  <si>
    <t>Øe</t>
  </si>
  <si>
    <t xml:space="preserve">Lack of cladding </t>
  </si>
  <si>
    <t xml:space="preserve">yes </t>
  </si>
  <si>
    <t>no</t>
  </si>
  <si>
    <t>Highly corroded</t>
  </si>
  <si>
    <t xml:space="preserve">Others </t>
  </si>
  <si>
    <t xml:space="preserve">General Stament </t>
  </si>
  <si>
    <t xml:space="preserve">Foot trafic </t>
  </si>
  <si>
    <t>Highy corroded</t>
  </si>
  <si>
    <t xml:space="preserve"> --&gt; Among others fonctions, jacketing is used to ensure the performance of the insualtion and to hold it in place.</t>
  </si>
  <si>
    <t xml:space="preserve"> --&gt; The insulation is not protected anymore, water or other agent could get in </t>
  </si>
  <si>
    <t xml:space="preserve"> --&gt; There is a reduction of the insulation thickness, higher energy conmsuption. The system is not watertight anhmore</t>
  </si>
  <si>
    <t xml:space="preserve"> --&gt; Probably, there is a leak above in the system. Jacketing as a protecting layer gets weaker.</t>
  </si>
  <si>
    <t xml:space="preserve">Wet insulation </t>
  </si>
  <si>
    <t>https://insulation.org/io/articles/maintain-insulation-jacketing-to-ensure-mechanical-insulation-performance/</t>
  </si>
  <si>
    <t>Lack of insulation</t>
  </si>
  <si>
    <t>Wet insulation</t>
  </si>
  <si>
    <t>Old insulation</t>
  </si>
  <si>
    <t xml:space="preserve"> --&gt; Any damage in the insulant leads to reduce its thermal performance and to increase the energy consumption </t>
  </si>
  <si>
    <t xml:space="preserve"> --&gt; A lack of insulation in a system means an easy way out/in for the heat increasing the energy consumption </t>
  </si>
  <si>
    <t xml:space="preserve"> --&gt; Heat cycles and external condition changes affect the estructure of the insulant reducing its performance  </t>
  </si>
  <si>
    <t xml:space="preserve"> --&gt; Moisture inside the insulation structure can reduce the thermal performance up to 50% and increase the risk of CUI</t>
  </si>
  <si>
    <t>Install insulation on surfaces at "medium temperature" °C leads to important energy savings</t>
  </si>
  <si>
    <t>reference increasing thickness</t>
  </si>
  <si>
    <t>Foot traffic/Dent</t>
  </si>
  <si>
    <t>q
W/m</t>
  </si>
  <si>
    <t>hikhjkl</t>
  </si>
  <si>
    <t>1.Heat gain instead of Heat loss</t>
  </si>
  <si>
    <t>Ice block</t>
  </si>
  <si>
    <t xml:space="preserve">Ice block </t>
  </si>
  <si>
    <t xml:space="preserve"> --&gt; Insulation in cold systems is critical not only for energy efficiency but for safety and process requirements</t>
  </si>
  <si>
    <t>Wet surface</t>
  </si>
  <si>
    <t xml:space="preserve"> --&gt; Ice block indicates the failure of the insulation system (or the lack of it). A part from the potential energy savings, its weight represents a risk for the installation break down.</t>
  </si>
  <si>
    <t xml:space="preserve"> --&gt; Condensations indicates the need of a better insulation solution to bring the surface temperature above the dew point. </t>
  </si>
  <si>
    <t>USER</t>
  </si>
  <si>
    <t>IPCOM</t>
  </si>
  <si>
    <t>Number</t>
  </si>
  <si>
    <t>PROJECT:</t>
  </si>
  <si>
    <t>Length or Leq</t>
  </si>
  <si>
    <t xml:space="preserve">Insulated </t>
  </si>
  <si>
    <t>TBi</t>
  </si>
  <si>
    <t xml:space="preserve">kWh/a </t>
  </si>
  <si>
    <t>Pipe preheater-burner</t>
  </si>
  <si>
    <t>Connexion tank21</t>
  </si>
  <si>
    <t>pipe preheater- burner</t>
  </si>
  <si>
    <t xml:space="preserve">Damaged </t>
  </si>
  <si>
    <t>Leakage -urgent to fix</t>
  </si>
  <si>
    <t>tank roof 21</t>
  </si>
  <si>
    <t>Potential savings per m² if insulated. Total surface must be defined</t>
  </si>
  <si>
    <t>insert some general documentation, dimension tables, flanges, etc…</t>
  </si>
  <si>
    <t>Upload documents plotplan, PFS, control room, tech specsetc…</t>
  </si>
  <si>
    <t>If medium temp - surface temp &lt; 15 °C (absolute value)</t>
  </si>
  <si>
    <t>average of all the points recorded or open cell to write any value</t>
  </si>
  <si>
    <t>report (record ) and move to selection</t>
  </si>
  <si>
    <t>0,5 is the deafault value</t>
  </si>
  <si>
    <t xml:space="preserve">It opens a window where Equivalent length can be modify </t>
  </si>
  <si>
    <t>Equivlent length decription:
Default value for flanges 0,5 m
Free input - xxxxx m</t>
  </si>
  <si>
    <t>DN or diameter</t>
  </si>
  <si>
    <t xml:space="preserve">uninsulated others - only info per m2, no recommendation just conditional </t>
  </si>
  <si>
    <t>Jacketing or cladding?</t>
  </si>
  <si>
    <t>CO2 emission reduction?</t>
  </si>
  <si>
    <t xml:space="preserve">Cold workflow </t>
  </si>
  <si>
    <t>Limitation in temperatures, like up to 300 °C</t>
  </si>
  <si>
    <t>Calculate or TIPCHECK?</t>
  </si>
  <si>
    <t xml:space="preserve">inforamtion at the selection </t>
  </si>
  <si>
    <t xml:space="preserve">hse calculated with uninsulated temperature, higher temperature -&gt; higher hse -&gt; higher losses . Incresed of thickness is integrated for Rsle but not for hse (small impact). Always conservative </t>
  </si>
  <si>
    <t>thers is an internal factor of 0,1 to hide price calcualtion backwards</t>
  </si>
  <si>
    <t>1 is the deafault value</t>
  </si>
  <si>
    <t>Equivlent length decription:
Default value for valves 1 m
Free input - xxxxx m</t>
  </si>
  <si>
    <t xml:space="preserve">information by selection </t>
  </si>
  <si>
    <t xml:space="preserve">equivalent length </t>
  </si>
  <si>
    <t>Bottom</t>
  </si>
  <si>
    <t>disclaimer about wind speed and sun radiation factor</t>
  </si>
  <si>
    <t>If savings &lt; 0</t>
  </si>
  <si>
    <t xml:space="preserve">no saving output </t>
  </si>
  <si>
    <t>optional data, chack can be done with empty cells</t>
  </si>
  <si>
    <t>dinamic with the selection criteria yes/no</t>
  </si>
  <si>
    <t>2 Add risk of condensation on the surface (maintenance report)</t>
  </si>
  <si>
    <t xml:space="preserve"> For insulated systems, general statement: any failure in the insulated system can lead to condensations and increase of energy consumption </t>
  </si>
  <si>
    <t>Insulation 
report</t>
  </si>
  <si>
    <t>Safety 
report</t>
  </si>
  <si>
    <t>Maintenance 
report</t>
  </si>
  <si>
    <t>Custom
report</t>
  </si>
  <si>
    <t xml:space="preserve">Fire protection </t>
  </si>
  <si>
    <t>Traffic</t>
  </si>
  <si>
    <t xml:space="preserve">any other safety issue </t>
  </si>
  <si>
    <t>Hot surface</t>
  </si>
  <si>
    <t>Leakage</t>
  </si>
  <si>
    <t>hvuyfutcubjbouihoubnonojb</t>
  </si>
  <si>
    <t xml:space="preserve">Medium </t>
  </si>
  <si>
    <t xml:space="preserve"> Mechanical 
equipement</t>
  </si>
  <si>
    <t>Electrical 
equipement</t>
  </si>
  <si>
    <t>Ice blocks &amp; wet surfaces</t>
  </si>
  <si>
    <t xml:space="preserve">remove medium temp </t>
  </si>
  <si>
    <t>add medium or surface temp</t>
  </si>
  <si>
    <t>Flanges</t>
  </si>
  <si>
    <t xml:space="preserve">Cold </t>
  </si>
  <si>
    <t>Energy</t>
  </si>
  <si>
    <t>Fire Protect.</t>
  </si>
  <si>
    <t xml:space="preserve">Mechanical </t>
  </si>
  <si>
    <t xml:space="preserve">Electrical </t>
  </si>
  <si>
    <t xml:space="preserve">Insulation </t>
  </si>
  <si>
    <t>Safety</t>
  </si>
  <si>
    <t xml:space="preserve">Maintenance </t>
  </si>
  <si>
    <t>Insulated Pipe</t>
  </si>
  <si>
    <t>Custom report</t>
  </si>
  <si>
    <t>Report Safety</t>
  </si>
  <si>
    <t xml:space="preserve">Report safety </t>
  </si>
  <si>
    <t>report maintenance</t>
  </si>
  <si>
    <t>Hot Surface</t>
  </si>
  <si>
    <t>energy &amp; saving analysis</t>
  </si>
  <si>
    <t xml:space="preserve">Summary structure </t>
  </si>
  <si>
    <t xml:space="preserve">Energy &amp; savings analysis </t>
  </si>
  <si>
    <t xml:space="preserve">Report energy </t>
  </si>
  <si>
    <t>Report safety</t>
  </si>
  <si>
    <t xml:space="preserve">Report maintenance </t>
  </si>
  <si>
    <t>Report others</t>
  </si>
  <si>
    <t>Medium or Surf Temp.</t>
  </si>
  <si>
    <t>θse
Medium or Surface temp</t>
  </si>
  <si>
    <t>min mm</t>
  </si>
  <si>
    <t>max mm</t>
  </si>
  <si>
    <t>min</t>
  </si>
  <si>
    <t>max</t>
  </si>
  <si>
    <t>ref min</t>
  </si>
  <si>
    <t>ref max</t>
  </si>
  <si>
    <t>tank roof</t>
  </si>
  <si>
    <r>
      <t>§</t>
    </r>
    <r>
      <rPr>
        <sz val="18"/>
        <color rgb="FF000000"/>
        <rFont val="Calibri"/>
        <family val="2"/>
        <scheme val="minor"/>
      </rPr>
      <t xml:space="preserve">Lambda simulation (Ftot=1,5) and approximated calculation q </t>
    </r>
  </si>
  <si>
    <t>MIN</t>
  </si>
  <si>
    <t xml:space="preserve">max </t>
  </si>
  <si>
    <t xml:space="preserve">Considering as a flat surface, conservative calculation for uninsulated and insulated </t>
  </si>
  <si>
    <t xml:space="preserve">Non - insulated </t>
  </si>
  <si>
    <t>Same formulas than surface but with 1m2 by default . Only min potential savings</t>
  </si>
  <si>
    <t>NOT TBi. Eiif table</t>
  </si>
  <si>
    <t>Max heat loss ref</t>
  </si>
  <si>
    <t>W/M2</t>
  </si>
  <si>
    <r>
      <t>Ref max heat loss</t>
    </r>
    <r>
      <rPr>
        <sz val="10"/>
        <color theme="1"/>
        <rFont val="Times New Roman"/>
        <family val="1"/>
      </rPr>
      <t xml:space="preserve"> =</t>
    </r>
  </si>
  <si>
    <t xml:space="preserve">Safety risk </t>
  </si>
  <si>
    <t>hot surface</t>
  </si>
  <si>
    <t xml:space="preserve">fire protection </t>
  </si>
  <si>
    <t xml:space="preserve">leakage </t>
  </si>
  <si>
    <t>dangerous</t>
  </si>
  <si>
    <t xml:space="preserve">other </t>
  </si>
  <si>
    <t>Housekeeping</t>
  </si>
  <si>
    <t xml:space="preserve">Structural </t>
  </si>
  <si>
    <t>Damaged insulation /cladding</t>
  </si>
  <si>
    <t>Structural</t>
  </si>
  <si>
    <t xml:space="preserve">Cladding </t>
  </si>
  <si>
    <t xml:space="preserve">Lack of insualtion </t>
  </si>
  <si>
    <t xml:space="preserve">Old insualtion </t>
  </si>
  <si>
    <t>Cladding</t>
  </si>
  <si>
    <t>Insulation</t>
  </si>
  <si>
    <t xml:space="preserve">from </t>
  </si>
  <si>
    <t>to</t>
  </si>
  <si>
    <t>Energy analysis</t>
  </si>
  <si>
    <t>Energy price</t>
  </si>
  <si>
    <t xml:space="preserve">Hot Surface </t>
  </si>
  <si>
    <t xml:space="preserve">Recommended </t>
  </si>
  <si>
    <t>Date</t>
  </si>
  <si>
    <t>Flange 2345</t>
  </si>
  <si>
    <t>Burner L6</t>
  </si>
  <si>
    <t>Dimension</t>
  </si>
  <si>
    <t>DN200</t>
  </si>
  <si>
    <t>20 m²</t>
  </si>
  <si>
    <t>By increasing performance or thickness</t>
  </si>
  <si>
    <t>YES</t>
  </si>
  <si>
    <t>NO</t>
  </si>
  <si>
    <t xml:space="preserve">Leakage </t>
  </si>
  <si>
    <t>Pipe 2119</t>
  </si>
  <si>
    <t>Ok</t>
  </si>
  <si>
    <t>Traffic &gt;&gt;&gt;</t>
  </si>
  <si>
    <t>Input &gt;&gt;&gt;</t>
  </si>
  <si>
    <t>Tank roof  21</t>
  </si>
  <si>
    <t>Pump 234</t>
  </si>
  <si>
    <t>Mechanical &gt;&gt;&gt;</t>
  </si>
  <si>
    <t>Painted ε=0,9</t>
  </si>
  <si>
    <t xml:space="preserve">Defaul value </t>
  </si>
  <si>
    <t xml:space="preserve">Metallic bright  </t>
  </si>
  <si>
    <t xml:space="preserve">Metallic  </t>
  </si>
  <si>
    <t xml:space="preserve">Corroded </t>
  </si>
  <si>
    <t xml:space="preserve">Painted </t>
  </si>
  <si>
    <t xml:space="preserve">Non metallic </t>
  </si>
  <si>
    <t>Project name</t>
  </si>
  <si>
    <t xml:space="preserve">Energy price </t>
  </si>
  <si>
    <t xml:space="preserve">Project leader </t>
  </si>
  <si>
    <t>Energy Manager</t>
  </si>
  <si>
    <t>Maintenance Manager</t>
  </si>
  <si>
    <t>HSE Manager</t>
  </si>
  <si>
    <t xml:space="preserve">email </t>
  </si>
  <si>
    <t>θse
Medium/Surface temp</t>
  </si>
  <si>
    <t xml:space="preserve">ε surface material </t>
  </si>
  <si>
    <t>----</t>
  </si>
  <si>
    <t>Material Surface - emissivity ε=</t>
  </si>
  <si>
    <t>Text</t>
  </si>
  <si>
    <t xml:space="preserve">value </t>
  </si>
  <si>
    <t xml:space="preserve">Operational time  </t>
  </si>
  <si>
    <t>Number or constants</t>
  </si>
  <si>
    <t xml:space="preserve">Coeficients </t>
  </si>
  <si>
    <t xml:space="preserve">hcv </t>
  </si>
  <si>
    <t>S
Surface in m²</t>
  </si>
  <si>
    <t>OT
Op Time in hr</t>
  </si>
  <si>
    <t>€
Energy price €/kWh</t>
  </si>
  <si>
    <t>Insulation thickness, e</t>
  </si>
  <si>
    <t xml:space="preserve"> Boltzmann cte, σ=</t>
  </si>
  <si>
    <r>
      <rPr>
        <b/>
        <sz val="11"/>
        <color rgb="FFFF0000"/>
        <rFont val="Calibri"/>
        <family val="2"/>
        <scheme val="minor"/>
      </rPr>
      <t>S</t>
    </r>
    <r>
      <rPr>
        <b/>
        <sz val="11"/>
        <color theme="1"/>
        <rFont val="Calibri"/>
        <family val="2"/>
        <scheme val="minor"/>
      </rPr>
      <t xml:space="preserve">
Surface in m²</t>
    </r>
  </si>
  <si>
    <r>
      <rPr>
        <b/>
        <sz val="11"/>
        <color rgb="FFFF0000"/>
        <rFont val="Calibri"/>
        <family val="2"/>
        <scheme val="minor"/>
      </rPr>
      <t>θse</t>
    </r>
    <r>
      <rPr>
        <b/>
        <sz val="11"/>
        <color theme="1"/>
        <rFont val="Calibri"/>
        <family val="2"/>
        <scheme val="minor"/>
      </rPr>
      <t xml:space="preserve">
Medium/Surface temp</t>
    </r>
  </si>
  <si>
    <r>
      <rPr>
        <b/>
        <sz val="11"/>
        <color rgb="FFFF0000"/>
        <rFont val="Calibri"/>
        <family val="2"/>
        <scheme val="minor"/>
      </rPr>
      <t>θa</t>
    </r>
    <r>
      <rPr>
        <b/>
        <sz val="11"/>
        <color theme="1"/>
        <rFont val="Calibri"/>
        <family val="2"/>
        <scheme val="minor"/>
      </rPr>
      <t xml:space="preserve">
Amb temp </t>
    </r>
  </si>
  <si>
    <r>
      <rPr>
        <b/>
        <sz val="11"/>
        <color rgb="FFFF0000"/>
        <rFont val="Calibri"/>
        <family val="2"/>
        <scheme val="minor"/>
      </rPr>
      <t xml:space="preserve">ε
</t>
    </r>
    <r>
      <rPr>
        <b/>
        <sz val="11"/>
        <color theme="1"/>
        <rFont val="Calibri"/>
        <family val="2"/>
        <scheme val="minor"/>
      </rPr>
      <t xml:space="preserve"> surface material </t>
    </r>
  </si>
  <si>
    <r>
      <rPr>
        <b/>
        <sz val="11"/>
        <color rgb="FFFF0000"/>
        <rFont val="Calibri"/>
        <family val="2"/>
        <scheme val="minor"/>
      </rPr>
      <t>OT</t>
    </r>
    <r>
      <rPr>
        <b/>
        <sz val="11"/>
        <color theme="1"/>
        <rFont val="Calibri"/>
        <family val="2"/>
        <scheme val="minor"/>
      </rPr>
      <t xml:space="preserve">
Op Time in hr</t>
    </r>
  </si>
  <si>
    <r>
      <rPr>
        <b/>
        <sz val="11"/>
        <color rgb="FFFF0000"/>
        <rFont val="Calibri"/>
        <family val="2"/>
        <scheme val="minor"/>
      </rPr>
      <t>€</t>
    </r>
    <r>
      <rPr>
        <b/>
        <sz val="11"/>
        <color theme="1"/>
        <rFont val="Calibri"/>
        <family val="2"/>
        <scheme val="minor"/>
      </rPr>
      <t xml:space="preserve">
Energy price €/kWh</t>
    </r>
  </si>
  <si>
    <r>
      <rPr>
        <b/>
        <sz val="11"/>
        <color rgb="FFFF0000"/>
        <rFont val="Calibri"/>
        <family val="2"/>
        <scheme val="minor"/>
      </rPr>
      <t>hcv</t>
    </r>
    <r>
      <rPr>
        <b/>
        <sz val="11"/>
        <color theme="1"/>
        <rFont val="Calibri"/>
        <family val="2"/>
        <scheme val="minor"/>
      </rPr>
      <t xml:space="preserve"> </t>
    </r>
  </si>
  <si>
    <r>
      <t>λ</t>
    </r>
    <r>
      <rPr>
        <b/>
        <vertAlign val="subscript"/>
        <sz val="11"/>
        <color rgb="FFFF0000"/>
        <rFont val="Times New Roman"/>
        <family val="1"/>
      </rPr>
      <t>des</t>
    </r>
  </si>
  <si>
    <r>
      <rPr>
        <b/>
        <sz val="11"/>
        <color rgb="FFFF0000"/>
        <rFont val="Times New Roman"/>
        <family val="1"/>
      </rPr>
      <t>λ</t>
    </r>
    <r>
      <rPr>
        <b/>
        <vertAlign val="subscript"/>
        <sz val="11"/>
        <color rgb="FFFF0000"/>
        <rFont val="Times New Roman"/>
        <family val="1"/>
      </rPr>
      <t>m</t>
    </r>
  </si>
  <si>
    <r>
      <t xml:space="preserve">Insulation thickness, </t>
    </r>
    <r>
      <rPr>
        <b/>
        <sz val="10"/>
        <color rgb="FFFF0000"/>
        <rFont val="Calibri"/>
        <family val="2"/>
        <scheme val="minor"/>
      </rPr>
      <t>e</t>
    </r>
  </si>
  <si>
    <t>Mineral wool 1.6.2b Pipe sections 50-80 kg/m³</t>
  </si>
  <si>
    <r>
      <t xml:space="preserve">m2/m, </t>
    </r>
    <r>
      <rPr>
        <b/>
        <sz val="10"/>
        <color rgb="FFFF0000"/>
        <rFont val="Calibri"/>
        <family val="2"/>
        <scheme val="minor"/>
      </rPr>
      <t>Sp</t>
    </r>
  </si>
  <si>
    <t>D e,min/max</t>
  </si>
  <si>
    <t>ql
W/m</t>
  </si>
  <si>
    <t>De,min</t>
  </si>
  <si>
    <t>De,max</t>
  </si>
  <si>
    <t>default</t>
  </si>
  <si>
    <t>n
number</t>
  </si>
  <si>
    <t>"Savings can be achieved by increasing insulation performance or thickness"</t>
  </si>
  <si>
    <t>"Savings can be achieved by increasing the insulant performance or thickness"</t>
  </si>
  <si>
    <t>"Potential savings per m² if increase of insulation preformance or thickness . Total surface must be defined"</t>
  </si>
  <si>
    <t>Undefined</t>
  </si>
  <si>
    <t xml:space="preserve">Condensation </t>
  </si>
  <si>
    <t>3 No potential saving information for insulated systems</t>
  </si>
  <si>
    <t>UNDEFINED</t>
  </si>
  <si>
    <t xml:space="preserve">DAMAGED </t>
  </si>
  <si>
    <t>CONDENSATION</t>
  </si>
  <si>
    <t>energy</t>
  </si>
  <si>
    <t xml:space="preserve">basic report </t>
  </si>
  <si>
    <t>I Undefined</t>
  </si>
  <si>
    <t>If component/location field is empty</t>
  </si>
  <si>
    <t xml:space="preserve">If surface material is empty </t>
  </si>
  <si>
    <t xml:space="preserve">If medium/surface temperature is empty </t>
  </si>
  <si>
    <t>Commmertialization</t>
  </si>
  <si>
    <t>Bugs control with customers</t>
  </si>
  <si>
    <t xml:space="preserve">If medium temperature is empty </t>
  </si>
  <si>
    <t>indicate Hot Surface in the summary (safety)</t>
  </si>
  <si>
    <t xml:space="preserve">It is an un-insulated system </t>
  </si>
  <si>
    <r>
      <t xml:space="preserve">If surface temperature &gt; </t>
    </r>
    <r>
      <rPr>
        <sz val="11"/>
        <color rgb="FFFF0000"/>
        <rFont val="Calibri"/>
        <family val="2"/>
        <scheme val="minor"/>
      </rPr>
      <t>"Safety warning for θse"</t>
    </r>
    <r>
      <rPr>
        <sz val="11"/>
        <color theme="1"/>
        <rFont val="Calibri"/>
        <family val="2"/>
        <scheme val="minor"/>
      </rPr>
      <t xml:space="preserve"> default value</t>
    </r>
  </si>
  <si>
    <t xml:space="preserve">Warning </t>
  </si>
  <si>
    <t xml:space="preserve">Advise </t>
  </si>
  <si>
    <t xml:space="preserve">If Length is empty </t>
  </si>
  <si>
    <t>External Diameter</t>
  </si>
  <si>
    <t>If External Diameter (Ø) is empty</t>
  </si>
  <si>
    <t xml:space="preserve">If Nominal Diameter (DN) is empty </t>
  </si>
  <si>
    <t>Number of items</t>
  </si>
  <si>
    <t>Nominal Diameter (DN)</t>
  </si>
  <si>
    <t>If Items number of items  is empty</t>
  </si>
  <si>
    <t xml:space="preserve">Items number </t>
  </si>
  <si>
    <t xml:space="preserve"> "SAFETY - Insulation required"</t>
  </si>
  <si>
    <t xml:space="preserve">System ok </t>
  </si>
  <si>
    <t>No space</t>
  </si>
  <si>
    <t>Blocked</t>
  </si>
  <si>
    <t>Surface temp</t>
  </si>
  <si>
    <t>56°C</t>
  </si>
  <si>
    <t>indicate Cold Surface in the summary (safety)</t>
  </si>
  <si>
    <t>Risk of condesation/ ice</t>
  </si>
  <si>
    <t>Risk of condesation / ice</t>
  </si>
  <si>
    <r>
      <t xml:space="preserve">Safety warning for cold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se&lt;</t>
    </r>
  </si>
  <si>
    <t>If  surface temperature &lt; safety warning for cold θse ( default value)</t>
  </si>
  <si>
    <t>If medium/surface temperature &lt; safety warning for cold θse ( default value)</t>
  </si>
  <si>
    <t>If surface temperature &lt; medium temperature &amp; &lt; ambient temp</t>
  </si>
  <si>
    <t xml:space="preserve">Please check temperatures </t>
  </si>
  <si>
    <t xml:space="preserve">Please input Component/ Location </t>
  </si>
  <si>
    <t xml:space="preserve">Please input operational time </t>
  </si>
  <si>
    <t xml:space="preserve">Please input surface in m² </t>
  </si>
  <si>
    <t xml:space="preserve">Please input external diameter (Ø) </t>
  </si>
  <si>
    <t xml:space="preserve">Please input length </t>
  </si>
  <si>
    <t xml:space="preserve">Please input nominal diameter (DN) </t>
  </si>
  <si>
    <t>Please input items number</t>
  </si>
  <si>
    <t xml:space="preserve">Please input surface emissivity </t>
  </si>
  <si>
    <t xml:space="preserve">Please input Ambient temperature </t>
  </si>
  <si>
    <t xml:space="preserve">Please input Medium/surface temperature </t>
  </si>
  <si>
    <t>Please input medium temperature</t>
  </si>
  <si>
    <t xml:space="preserve">Please input surface temperature </t>
  </si>
  <si>
    <t>Tbi advise</t>
  </si>
  <si>
    <t xml:space="preserve">Total energy loss </t>
  </si>
  <si>
    <t xml:space="preserve">Summary </t>
  </si>
  <si>
    <t>System ok</t>
  </si>
  <si>
    <t>Insulation recommended</t>
  </si>
  <si>
    <t xml:space="preserve">SAFETY - Insulation recommended </t>
  </si>
  <si>
    <t>Recommended</t>
  </si>
  <si>
    <t>Total surface must be defined. Units per m²</t>
  </si>
  <si>
    <t>Define total surface</t>
  </si>
  <si>
    <t>Saving can be achieved ……..</t>
  </si>
  <si>
    <t>OK</t>
  </si>
  <si>
    <r>
      <t xml:space="preserve"> </t>
    </r>
    <r>
      <rPr>
        <sz val="11"/>
        <color theme="1"/>
        <rFont val="Calibri"/>
        <family val="2"/>
      </rPr>
      <t xml:space="preserve">↑ </t>
    </r>
    <r>
      <rPr>
        <sz val="11"/>
        <color theme="1"/>
        <rFont val="Calibri"/>
        <family val="2"/>
        <scheme val="minor"/>
      </rPr>
      <t>Performance or thickness</t>
    </r>
  </si>
  <si>
    <t>Advise in the component screen (formulas 30, 31, 49, 50)</t>
  </si>
  <si>
    <t>round outputs ??</t>
  </si>
  <si>
    <t>1.-</t>
  </si>
  <si>
    <t>2.-</t>
  </si>
  <si>
    <t>3.-</t>
  </si>
  <si>
    <t>4.-</t>
  </si>
  <si>
    <t>Input</t>
  </si>
  <si>
    <t>Y</t>
  </si>
  <si>
    <t>N</t>
  </si>
  <si>
    <t>Insulation Advise</t>
  </si>
  <si>
    <t xml:space="preserve">Potential savings 
per year </t>
  </si>
  <si>
    <t>kWh/m²</t>
  </si>
  <si>
    <t>€/m²</t>
  </si>
  <si>
    <t>Surface to be defined</t>
  </si>
  <si>
    <t>Energy Loss 
per year</t>
  </si>
  <si>
    <t xml:space="preserve">Energy loss per year </t>
  </si>
  <si>
    <t xml:space="preserve">Money loss per year </t>
  </si>
  <si>
    <t xml:space="preserve">Potential Energy saving per year </t>
  </si>
  <si>
    <t xml:space="preserve">Potential money saving per year </t>
  </si>
  <si>
    <t>Manhole 71</t>
  </si>
  <si>
    <t>216 m²</t>
  </si>
  <si>
    <t>Corroded</t>
  </si>
  <si>
    <t>Railing</t>
  </si>
  <si>
    <t>Tank roof 58</t>
  </si>
  <si>
    <t>Flange 234/240</t>
  </si>
  <si>
    <t>Surface &amp; unknown</t>
  </si>
  <si>
    <t>Insulated Surface &amp; unknown</t>
  </si>
  <si>
    <t>Criteria for Insulated, θa ref</t>
  </si>
  <si>
    <r>
      <t>Criteria for Insulated, Ref max heat loss</t>
    </r>
    <r>
      <rPr>
        <sz val="10"/>
        <color theme="1"/>
        <rFont val="Times New Roman"/>
        <family val="1"/>
      </rPr>
      <t xml:space="preserve"> =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</si>
</sst>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0.0E+00"/>
    <numFmt numFmtId="165" formatCode="#,##0\ [$€-C0A]"/>
    <numFmt numFmtId="166" formatCode="0.0"/>
    <numFmt numFmtId="167" formatCode="0.000"/>
    <numFmt numFmtId="168" formatCode="#,##0.0"/>
    <numFmt numFmtId="169" formatCode="#,##0.000"/>
    <numFmt numFmtId="170" formatCode="dd/mm/yy;@"/>
  </numFmts>
  <fonts count="9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b/>
      <vertAlign val="superscript"/>
      <sz val="16"/>
      <color theme="0"/>
      <name val="Calibri"/>
      <family val="2"/>
      <scheme val="minor"/>
    </font>
    <font>
      <sz val="11"/>
      <color rgb="FF000000"/>
      <name val="Calibri"/>
      <family val="2"/>
    </font>
    <font>
      <i/>
      <sz val="11"/>
      <color theme="1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b/>
      <sz val="16"/>
      <color theme="4" tint="-0.249977111117893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1"/>
      <name val="Times New Roman"/>
      <family val="1"/>
    </font>
    <font>
      <b/>
      <sz val="12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b/>
      <sz val="11"/>
      <name val="Calibri"/>
      <family val="2"/>
      <scheme val="minor"/>
    </font>
    <font>
      <sz val="14"/>
      <color rgb="FF002060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3"/>
      <name val="Calibri"/>
      <family val="2"/>
      <scheme val="minor"/>
    </font>
    <font>
      <b/>
      <sz val="18"/>
      <color theme="4" tint="-0.499984740745262"/>
      <name val="Calibri"/>
      <family val="2"/>
      <scheme val="minor"/>
    </font>
    <font>
      <b/>
      <sz val="18"/>
      <color theme="9" tint="-0.249977111117893"/>
      <name val="Calibri"/>
      <family val="2"/>
      <scheme val="minor"/>
    </font>
    <font>
      <b/>
      <sz val="20"/>
      <color theme="4" tint="-0.499984740745262"/>
      <name val="Calibri"/>
      <family val="2"/>
      <scheme val="minor"/>
    </font>
    <font>
      <b/>
      <sz val="20"/>
      <color theme="9" tint="-0.249977111117893"/>
      <name val="Calibri"/>
      <family val="2"/>
      <scheme val="minor"/>
    </font>
    <font>
      <b/>
      <i/>
      <sz val="16"/>
      <color theme="0" tint="-0.499984740745262"/>
      <name val="Calibri"/>
      <family val="2"/>
      <scheme val="minor"/>
    </font>
    <font>
      <b/>
      <sz val="12"/>
      <color theme="4" tint="-0.499984740745262"/>
      <name val="Calibri"/>
      <family val="2"/>
      <scheme val="minor"/>
    </font>
    <font>
      <b/>
      <sz val="12"/>
      <color theme="9" tint="-0.499984740745262"/>
      <name val="Calibri"/>
      <family val="2"/>
      <scheme val="minor"/>
    </font>
    <font>
      <b/>
      <i/>
      <sz val="16"/>
      <color theme="0" tint="-0.14999847407452621"/>
      <name val="Calibri"/>
      <family val="2"/>
      <scheme val="minor"/>
    </font>
    <font>
      <b/>
      <i/>
      <sz val="14"/>
      <color theme="0" tint="-0.499984740745262"/>
      <name val="Calibri"/>
      <family val="2"/>
      <scheme val="minor"/>
    </font>
    <font>
      <b/>
      <sz val="16"/>
      <color theme="0" tint="-0.14999847407452621"/>
      <name val="Calibri"/>
      <family val="2"/>
      <scheme val="minor"/>
    </font>
    <font>
      <b/>
      <sz val="8"/>
      <name val="Calibri"/>
      <family val="2"/>
      <scheme val="minor"/>
    </font>
    <font>
      <b/>
      <sz val="14"/>
      <color theme="8" tint="-0.499984740745262"/>
      <name val="Calibri"/>
      <family val="2"/>
      <scheme val="minor"/>
    </font>
    <font>
      <b/>
      <sz val="12"/>
      <color theme="8" tint="-0.499984740745262"/>
      <name val="Calibri"/>
      <family val="2"/>
      <scheme val="minor"/>
    </font>
    <font>
      <b/>
      <sz val="16"/>
      <color theme="8" tint="-0.499984740745262"/>
      <name val="Calibri"/>
      <family val="2"/>
      <scheme val="minor"/>
    </font>
    <font>
      <b/>
      <sz val="12"/>
      <color theme="9" tint="-0.249977111117893"/>
      <name val="Calibri"/>
      <family val="2"/>
      <scheme val="minor"/>
    </font>
    <font>
      <b/>
      <sz val="16"/>
      <color theme="9" tint="-0.249977111117893"/>
      <name val="Calibri"/>
      <family val="2"/>
      <scheme val="minor"/>
    </font>
    <font>
      <sz val="11"/>
      <color theme="1"/>
      <name val="Times New Roman"/>
      <family val="1"/>
    </font>
    <font>
      <vertAlign val="subscript"/>
      <sz val="11"/>
      <color theme="1"/>
      <name val="Times New Roman"/>
      <family val="1"/>
    </font>
    <font>
      <b/>
      <sz val="10"/>
      <color theme="1"/>
      <name val="Calibri"/>
      <family val="2"/>
      <scheme val="minor"/>
    </font>
    <font>
      <b/>
      <vertAlign val="subscript"/>
      <sz val="11"/>
      <color theme="1"/>
      <name val="Times New Roman"/>
      <family val="1"/>
    </font>
    <font>
      <b/>
      <sz val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18"/>
      <color theme="1"/>
      <name val="Arial"/>
      <family val="2"/>
    </font>
    <font>
      <sz val="18"/>
      <color rgb="FF000000"/>
      <name val="Calibri"/>
      <family val="2"/>
      <scheme val="minor"/>
    </font>
    <font>
      <sz val="5.5"/>
      <color theme="1"/>
      <name val="Wingdings"/>
      <charset val="2"/>
    </font>
    <font>
      <sz val="10"/>
      <color theme="1"/>
      <name val="Times New Roman"/>
      <family val="1"/>
    </font>
    <font>
      <sz val="10"/>
      <color theme="1"/>
      <name val="Calibri"/>
      <family val="2"/>
    </font>
    <font>
      <sz val="11"/>
      <color theme="1"/>
      <name val="Calibri"/>
      <family val="2"/>
    </font>
    <font>
      <sz val="10"/>
      <color rgb="FFFF0000"/>
      <name val="Calibri"/>
      <family val="2"/>
      <scheme val="minor"/>
    </font>
    <font>
      <b/>
      <sz val="72"/>
      <color theme="0"/>
      <name val="Arial"/>
      <family val="2"/>
    </font>
    <font>
      <sz val="14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24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name val="Calibri"/>
      <family val="2"/>
      <scheme val="minor"/>
    </font>
    <font>
      <sz val="9"/>
      <color rgb="FF3D3D3D"/>
      <name val="Arial"/>
      <family val="2"/>
    </font>
    <font>
      <b/>
      <sz val="9"/>
      <color rgb="FF3D3D3D"/>
      <name val="Arial"/>
      <family val="2"/>
    </font>
    <font>
      <u/>
      <sz val="11"/>
      <color theme="10"/>
      <name val="Calibri"/>
      <family val="2"/>
      <scheme val="minor"/>
    </font>
    <font>
      <sz val="10"/>
      <color theme="9" tint="-0.249977111117893"/>
      <name val="Calibri"/>
      <family val="2"/>
      <scheme val="minor"/>
    </font>
    <font>
      <b/>
      <sz val="14"/>
      <color theme="4" tint="0.39997558519241921"/>
      <name val="Calibri"/>
      <family val="2"/>
      <scheme val="minor"/>
    </font>
    <font>
      <b/>
      <sz val="16"/>
      <color theme="4" tint="-0.499984740745262"/>
      <name val="Calibri"/>
      <family val="2"/>
      <scheme val="minor"/>
    </font>
    <font>
      <b/>
      <sz val="11"/>
      <color theme="0"/>
      <name val="Times New Roman"/>
      <family val="1"/>
    </font>
    <font>
      <i/>
      <sz val="8"/>
      <color theme="0"/>
      <name val="Calibri"/>
      <family val="2"/>
      <scheme val="minor"/>
    </font>
    <font>
      <b/>
      <sz val="16"/>
      <color theme="0"/>
      <name val="Times New Roman"/>
      <family val="1"/>
    </font>
    <font>
      <b/>
      <sz val="14"/>
      <color theme="0" tint="-0.249977111117893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theme="1"/>
      <name val="Bradley Hand ITC"/>
      <family val="4"/>
    </font>
    <font>
      <b/>
      <i/>
      <sz val="12"/>
      <color theme="0" tint="-0.499984740745262"/>
      <name val="Calibri"/>
      <family val="2"/>
      <scheme val="minor"/>
    </font>
    <font>
      <b/>
      <sz val="24"/>
      <color theme="0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b/>
      <sz val="9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9" tint="-0.249977111117893"/>
      <name val="Calibri"/>
      <family val="2"/>
      <scheme val="minor"/>
    </font>
    <font>
      <b/>
      <sz val="12"/>
      <color theme="4" tint="-0.249977111117893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1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1"/>
      <color theme="4" tint="-0.499984740745262"/>
      <name val="Calibri"/>
      <family val="2"/>
      <scheme val="minor"/>
    </font>
    <font>
      <b/>
      <sz val="9"/>
      <name val="Calibri"/>
      <family val="2"/>
      <scheme val="minor"/>
    </font>
    <font>
      <b/>
      <sz val="8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vertAlign val="subscript"/>
      <sz val="11"/>
      <color rgb="FFFF0000"/>
      <name val="Times New Roman"/>
      <family val="1"/>
    </font>
    <font>
      <b/>
      <sz val="11"/>
      <color rgb="FFFF0000"/>
      <name val="Times New Roman"/>
      <family val="1"/>
    </font>
    <font>
      <b/>
      <sz val="10"/>
      <color rgb="FFFF0000"/>
      <name val="Calibri"/>
      <family val="2"/>
      <scheme val="minor"/>
    </font>
    <font>
      <b/>
      <sz val="16"/>
      <color theme="9" tint="-0.499984740745262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b/>
      <sz val="9"/>
      <color theme="9" tint="-0.249977111117893"/>
      <name val="Calibri"/>
      <family val="2"/>
      <scheme val="minor"/>
    </font>
    <font>
      <b/>
      <sz val="12"/>
      <color rgb="FF002060"/>
      <name val="Calibri"/>
      <family val="2"/>
      <scheme val="minor"/>
    </font>
    <font>
      <b/>
      <sz val="18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DF1E7"/>
        <bgColor indexed="64"/>
      </patternFill>
    </fill>
  </fills>
  <borders count="90">
    <border>
      <left/>
      <right/>
      <top/>
      <bottom/>
      <diagonal/>
    </border>
    <border>
      <left style="thick">
        <color theme="0"/>
      </left>
      <right/>
      <top style="thick">
        <color theme="0"/>
      </top>
      <bottom/>
      <diagonal/>
    </border>
    <border>
      <left/>
      <right/>
      <top style="thick">
        <color theme="0"/>
      </top>
      <bottom/>
      <diagonal/>
    </border>
    <border>
      <left/>
      <right style="thick">
        <color theme="0"/>
      </right>
      <top style="thick">
        <color theme="0"/>
      </top>
      <bottom/>
      <diagonal/>
    </border>
    <border>
      <left style="thick">
        <color theme="0"/>
      </left>
      <right/>
      <top/>
      <bottom/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/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/>
      <top style="medium">
        <color theme="0"/>
      </top>
      <bottom/>
      <diagonal/>
    </border>
    <border>
      <left/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/>
      <top/>
      <bottom/>
      <diagonal/>
    </border>
    <border>
      <left/>
      <right style="medium">
        <color theme="0"/>
      </right>
      <top/>
      <bottom/>
      <diagonal/>
    </border>
    <border>
      <left style="medium">
        <color theme="0"/>
      </left>
      <right/>
      <top/>
      <bottom style="medium">
        <color theme="0"/>
      </bottom>
      <diagonal/>
    </border>
    <border>
      <left/>
      <right/>
      <top/>
      <bottom style="medium">
        <color theme="0"/>
      </bottom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rgb="FFFF0000"/>
      </left>
      <right/>
      <top style="thick">
        <color rgb="FFFF0000"/>
      </top>
      <bottom/>
      <diagonal/>
    </border>
    <border>
      <left/>
      <right/>
      <top style="thick">
        <color rgb="FFFF0000"/>
      </top>
      <bottom/>
      <diagonal/>
    </border>
    <border>
      <left/>
      <right style="thick">
        <color rgb="FFFF0000"/>
      </right>
      <top style="thick">
        <color rgb="FFFF0000"/>
      </top>
      <bottom/>
      <diagonal/>
    </border>
    <border>
      <left style="thick">
        <color rgb="FFFF0000"/>
      </left>
      <right/>
      <top/>
      <bottom/>
      <diagonal/>
    </border>
    <border>
      <left/>
      <right style="thick">
        <color rgb="FFFF0000"/>
      </right>
      <top/>
      <bottom/>
      <diagonal/>
    </border>
    <border>
      <left style="thick">
        <color rgb="FFFF0000"/>
      </left>
      <right/>
      <top/>
      <bottom style="thick">
        <color rgb="FFFF0000"/>
      </bottom>
      <diagonal/>
    </border>
    <border>
      <left/>
      <right/>
      <top/>
      <bottom style="thick">
        <color rgb="FFFF0000"/>
      </bottom>
      <diagonal/>
    </border>
    <border>
      <left/>
      <right style="thick">
        <color rgb="FFFF0000"/>
      </right>
      <top/>
      <bottom style="thick">
        <color rgb="FFFF0000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</borders>
  <cellStyleXfs count="3">
    <xf numFmtId="165" fontId="0" fillId="0" borderId="0"/>
    <xf numFmtId="165" fontId="61" fillId="0" borderId="0" applyNumberFormat="0" applyFill="0" applyBorder="0" applyAlignment="0" applyProtection="0"/>
    <xf numFmtId="9" fontId="77" fillId="0" borderId="0" applyFont="0" applyFill="0" applyBorder="0" applyAlignment="0" applyProtection="0"/>
  </cellStyleXfs>
  <cellXfs count="1089">
    <xf numFmtId="165" fontId="0" fillId="0" borderId="0" xfId="0"/>
    <xf numFmtId="165" fontId="0" fillId="4" borderId="0" xfId="0" applyFill="1"/>
    <xf numFmtId="165" fontId="0" fillId="5" borderId="0" xfId="0" applyFill="1"/>
    <xf numFmtId="165" fontId="2" fillId="4" borderId="0" xfId="0" applyFont="1" applyFill="1"/>
    <xf numFmtId="165" fontId="0" fillId="4" borderId="0" xfId="0" applyFill="1" applyBorder="1"/>
    <xf numFmtId="165" fontId="0" fillId="4" borderId="1" xfId="0" applyFill="1" applyBorder="1"/>
    <xf numFmtId="165" fontId="0" fillId="4" borderId="2" xfId="0" applyFill="1" applyBorder="1"/>
    <xf numFmtId="165" fontId="0" fillId="4" borderId="3" xfId="0" applyFill="1" applyBorder="1"/>
    <xf numFmtId="165" fontId="0" fillId="4" borderId="4" xfId="0" applyFill="1" applyBorder="1"/>
    <xf numFmtId="165" fontId="0" fillId="4" borderId="5" xfId="0" applyFill="1" applyBorder="1"/>
    <xf numFmtId="165" fontId="0" fillId="4" borderId="6" xfId="0" applyFill="1" applyBorder="1"/>
    <xf numFmtId="165" fontId="0" fillId="4" borderId="7" xfId="0" applyFill="1" applyBorder="1"/>
    <xf numFmtId="165" fontId="0" fillId="4" borderId="8" xfId="0" applyFill="1" applyBorder="1"/>
    <xf numFmtId="165" fontId="0" fillId="4" borderId="9" xfId="0" applyFill="1" applyBorder="1"/>
    <xf numFmtId="165" fontId="4" fillId="4" borderId="0" xfId="0" applyFont="1" applyFill="1" applyBorder="1" applyAlignment="1"/>
    <xf numFmtId="165" fontId="0" fillId="4" borderId="0" xfId="0" applyFill="1" applyBorder="1" applyAlignment="1"/>
    <xf numFmtId="165" fontId="0" fillId="5" borderId="0" xfId="0" applyFill="1" applyBorder="1"/>
    <xf numFmtId="165" fontId="0" fillId="0" borderId="0" xfId="0" applyBorder="1"/>
    <xf numFmtId="165" fontId="3" fillId="4" borderId="0" xfId="0" applyFont="1" applyFill="1" applyBorder="1" applyAlignment="1">
      <alignment vertical="center" wrapText="1"/>
    </xf>
    <xf numFmtId="165" fontId="3" fillId="4" borderId="0" xfId="0" applyFont="1" applyFill="1" applyBorder="1" applyAlignment="1">
      <alignment vertical="center"/>
    </xf>
    <xf numFmtId="165" fontId="0" fillId="3" borderId="0" xfId="0" applyFill="1" applyBorder="1"/>
    <xf numFmtId="165" fontId="0" fillId="3" borderId="0" xfId="0" applyFill="1" applyBorder="1" applyAlignment="1"/>
    <xf numFmtId="165" fontId="0" fillId="5" borderId="0" xfId="0" applyFill="1" applyBorder="1" applyAlignment="1">
      <alignment vertical="center"/>
    </xf>
    <xf numFmtId="165" fontId="0" fillId="0" borderId="0" xfId="0" applyBorder="1" applyAlignment="1">
      <alignment vertical="center"/>
    </xf>
    <xf numFmtId="165" fontId="8" fillId="5" borderId="0" xfId="0" applyFont="1" applyFill="1" applyBorder="1"/>
    <xf numFmtId="165" fontId="8" fillId="5" borderId="0" xfId="0" applyFont="1" applyFill="1" applyBorder="1" applyAlignment="1">
      <alignment vertical="center"/>
    </xf>
    <xf numFmtId="165" fontId="0" fillId="4" borderId="0" xfId="0" applyFill="1" applyBorder="1" applyAlignment="1">
      <alignment vertical="center"/>
    </xf>
    <xf numFmtId="165" fontId="5" fillId="4" borderId="0" xfId="0" applyFont="1" applyFill="1" applyBorder="1" applyAlignment="1">
      <alignment vertical="center"/>
    </xf>
    <xf numFmtId="165" fontId="4" fillId="4" borderId="0" xfId="0" applyFont="1" applyFill="1" applyBorder="1" applyAlignment="1">
      <alignment vertical="center"/>
    </xf>
    <xf numFmtId="165" fontId="4" fillId="4" borderId="1" xfId="0" applyFont="1" applyFill="1" applyBorder="1" applyAlignment="1"/>
    <xf numFmtId="165" fontId="4" fillId="4" borderId="2" xfId="0" applyFont="1" applyFill="1" applyBorder="1" applyAlignment="1"/>
    <xf numFmtId="165" fontId="0" fillId="4" borderId="4" xfId="0" applyFill="1" applyBorder="1" applyAlignment="1">
      <alignment vertical="center"/>
    </xf>
    <xf numFmtId="165" fontId="9" fillId="4" borderId="0" xfId="0" applyFont="1" applyFill="1" applyBorder="1" applyAlignment="1">
      <alignment vertical="center"/>
    </xf>
    <xf numFmtId="165" fontId="0" fillId="4" borderId="0" xfId="0" applyFill="1" applyBorder="1" applyAlignment="1">
      <alignment horizontal="right"/>
    </xf>
    <xf numFmtId="165" fontId="0" fillId="0" borderId="0" xfId="0" applyAlignment="1">
      <alignment wrapText="1"/>
    </xf>
    <xf numFmtId="165" fontId="1" fillId="5" borderId="0" xfId="0" applyFont="1" applyFill="1" applyBorder="1" applyAlignment="1">
      <alignment horizontal="left"/>
    </xf>
    <xf numFmtId="165" fontId="18" fillId="5" borderId="0" xfId="0" applyFont="1" applyFill="1" applyBorder="1"/>
    <xf numFmtId="165" fontId="0" fillId="5" borderId="0" xfId="0" applyFill="1" applyBorder="1" applyAlignment="1">
      <alignment horizontal="center"/>
    </xf>
    <xf numFmtId="165" fontId="0" fillId="5" borderId="20" xfId="0" applyFill="1" applyBorder="1" applyAlignment="1">
      <alignment horizontal="center"/>
    </xf>
    <xf numFmtId="165" fontId="0" fillId="5" borderId="20" xfId="0" applyFill="1" applyBorder="1"/>
    <xf numFmtId="165" fontId="18" fillId="5" borderId="0" xfId="0" applyFont="1" applyFill="1" applyBorder="1" applyAlignment="1"/>
    <xf numFmtId="165" fontId="0" fillId="5" borderId="0" xfId="0" applyFill="1" applyBorder="1" applyAlignment="1">
      <alignment horizontal="right"/>
    </xf>
    <xf numFmtId="14" fontId="18" fillId="5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left" vertical="center"/>
    </xf>
    <xf numFmtId="165" fontId="3" fillId="4" borderId="0" xfId="0" applyFont="1" applyFill="1" applyBorder="1" applyAlignment="1">
      <alignment horizontal="center" vertical="center"/>
    </xf>
    <xf numFmtId="165" fontId="3" fillId="4" borderId="5" xfId="0" applyFont="1" applyFill="1" applyBorder="1" applyAlignment="1">
      <alignment vertical="center"/>
    </xf>
    <xf numFmtId="165" fontId="0" fillId="8" borderId="0" xfId="0" applyFont="1" applyFill="1" applyBorder="1" applyAlignment="1"/>
    <xf numFmtId="165" fontId="9" fillId="4" borderId="0" xfId="0" applyFont="1" applyFill="1" applyBorder="1" applyAlignment="1">
      <alignment horizontal="left" vertical="center"/>
    </xf>
    <xf numFmtId="165" fontId="26" fillId="4" borderId="0" xfId="0" applyFont="1" applyFill="1" applyBorder="1" applyAlignment="1">
      <alignment vertical="top"/>
    </xf>
    <xf numFmtId="165" fontId="26" fillId="4" borderId="0" xfId="0" applyFont="1" applyFill="1" applyBorder="1" applyAlignment="1">
      <alignment vertical="center"/>
    </xf>
    <xf numFmtId="165" fontId="29" fillId="4" borderId="0" xfId="0" applyFont="1" applyFill="1" applyBorder="1" applyAlignment="1">
      <alignment vertical="center"/>
    </xf>
    <xf numFmtId="165" fontId="0" fillId="4" borderId="5" xfId="0" applyFill="1" applyBorder="1" applyAlignment="1">
      <alignment vertical="center"/>
    </xf>
    <xf numFmtId="165" fontId="10" fillId="4" borderId="0" xfId="0" applyFont="1" applyFill="1" applyBorder="1" applyAlignment="1">
      <alignment horizontal="left" vertical="center"/>
    </xf>
    <xf numFmtId="165" fontId="3" fillId="4" borderId="3" xfId="0" applyFont="1" applyFill="1" applyBorder="1" applyAlignment="1">
      <alignment vertical="center"/>
    </xf>
    <xf numFmtId="165" fontId="31" fillId="4" borderId="0" xfId="0" applyFont="1" applyFill="1" applyBorder="1" applyAlignment="1">
      <alignment vertical="center"/>
    </xf>
    <xf numFmtId="3" fontId="33" fillId="5" borderId="0" xfId="0" applyNumberFormat="1" applyFont="1" applyFill="1" applyBorder="1" applyAlignment="1">
      <alignment horizontal="right" vertical="center"/>
    </xf>
    <xf numFmtId="165" fontId="34" fillId="5" borderId="0" xfId="0" applyFont="1" applyFill="1" applyBorder="1" applyAlignment="1">
      <alignment horizontal="left" vertical="center"/>
    </xf>
    <xf numFmtId="165" fontId="34" fillId="5" borderId="0" xfId="0" applyFont="1" applyFill="1" applyBorder="1" applyAlignment="1">
      <alignment horizontal="center" vertical="center"/>
    </xf>
    <xf numFmtId="165" fontId="36" fillId="5" borderId="0" xfId="0" applyFont="1" applyFill="1" applyBorder="1" applyAlignment="1">
      <alignment horizontal="center" vertical="center"/>
    </xf>
    <xf numFmtId="165" fontId="36" fillId="5" borderId="0" xfId="0" applyFont="1" applyFill="1" applyBorder="1" applyAlignment="1">
      <alignment horizontal="left" vertical="center"/>
    </xf>
    <xf numFmtId="3" fontId="35" fillId="5" borderId="0" xfId="0" applyNumberFormat="1" applyFont="1" applyFill="1" applyBorder="1" applyAlignment="1">
      <alignment horizontal="right" vertical="center"/>
    </xf>
    <xf numFmtId="165" fontId="0" fillId="4" borderId="7" xfId="0" applyFill="1" applyBorder="1" applyAlignment="1"/>
    <xf numFmtId="165" fontId="14" fillId="5" borderId="0" xfId="0" applyFont="1" applyFill="1" applyBorder="1" applyAlignment="1">
      <alignment horizontal="center"/>
    </xf>
    <xf numFmtId="165" fontId="14" fillId="5" borderId="0" xfId="0" applyFont="1" applyFill="1" applyBorder="1"/>
    <xf numFmtId="2" fontId="14" fillId="5" borderId="0" xfId="0" applyNumberFormat="1" applyFont="1" applyFill="1" applyBorder="1"/>
    <xf numFmtId="2" fontId="15" fillId="5" borderId="0" xfId="0" applyNumberFormat="1" applyFont="1" applyFill="1" applyBorder="1"/>
    <xf numFmtId="1" fontId="14" fillId="5" borderId="0" xfId="0" applyNumberFormat="1" applyFont="1" applyFill="1" applyBorder="1"/>
    <xf numFmtId="165" fontId="0" fillId="5" borderId="10" xfId="0" applyFill="1" applyBorder="1"/>
    <xf numFmtId="165" fontId="14" fillId="5" borderId="13" xfId="0" applyFont="1" applyFill="1" applyBorder="1"/>
    <xf numFmtId="165" fontId="3" fillId="4" borderId="0" xfId="0" applyFont="1" applyFill="1" applyBorder="1" applyAlignment="1">
      <alignment horizontal="center" vertical="top"/>
    </xf>
    <xf numFmtId="165" fontId="45" fillId="0" borderId="0" xfId="0" applyFont="1" applyAlignment="1">
      <alignment horizontal="left" vertical="center" indent="13" readingOrder="1"/>
    </xf>
    <xf numFmtId="164" fontId="11" fillId="5" borderId="0" xfId="0" applyNumberFormat="1" applyFont="1" applyFill="1" applyBorder="1" applyAlignment="1">
      <alignment wrapText="1"/>
    </xf>
    <xf numFmtId="165" fontId="14" fillId="9" borderId="0" xfId="0" applyFont="1" applyFill="1" applyBorder="1" applyAlignment="1">
      <alignment horizontal="center"/>
    </xf>
    <xf numFmtId="165" fontId="0" fillId="9" borderId="28" xfId="0" applyFont="1" applyFill="1" applyBorder="1"/>
    <xf numFmtId="165" fontId="0" fillId="9" borderId="36" xfId="0" applyFont="1" applyFill="1" applyBorder="1"/>
    <xf numFmtId="165" fontId="14" fillId="9" borderId="37" xfId="0" applyFont="1" applyFill="1" applyBorder="1"/>
    <xf numFmtId="165" fontId="14" fillId="9" borderId="38" xfId="0" applyFont="1" applyFill="1" applyBorder="1" applyAlignment="1">
      <alignment horizontal="center"/>
    </xf>
    <xf numFmtId="165" fontId="49" fillId="9" borderId="40" xfId="0" applyFont="1" applyFill="1" applyBorder="1"/>
    <xf numFmtId="165" fontId="16" fillId="5" borderId="0" xfId="0" applyFont="1" applyFill="1" applyBorder="1" applyAlignment="1">
      <alignment horizontal="left"/>
    </xf>
    <xf numFmtId="165" fontId="12" fillId="5" borderId="0" xfId="0" applyFont="1" applyFill="1" applyBorder="1" applyAlignment="1">
      <alignment horizontal="right"/>
    </xf>
    <xf numFmtId="165" fontId="1" fillId="5" borderId="0" xfId="0" applyFont="1" applyFill="1" applyBorder="1" applyAlignment="1">
      <alignment horizontal="center" wrapText="1"/>
    </xf>
    <xf numFmtId="165" fontId="13" fillId="5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textRotation="90" wrapText="1"/>
    </xf>
    <xf numFmtId="165" fontId="0" fillId="5" borderId="0" xfId="0" applyFill="1" applyBorder="1" applyAlignment="1"/>
    <xf numFmtId="165" fontId="13" fillId="10" borderId="45" xfId="0" applyFont="1" applyFill="1" applyBorder="1" applyAlignment="1">
      <alignment horizontal="center" vertical="center" wrapText="1"/>
    </xf>
    <xf numFmtId="1" fontId="43" fillId="11" borderId="10" xfId="0" applyNumberFormat="1" applyFont="1" applyFill="1" applyBorder="1" applyAlignment="1">
      <alignment horizontal="center"/>
    </xf>
    <xf numFmtId="1" fontId="4" fillId="11" borderId="10" xfId="0" applyNumberFormat="1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1" fillId="7" borderId="15" xfId="0" applyFont="1" applyFill="1" applyBorder="1" applyAlignment="1">
      <alignment horizontal="center" vertical="center" wrapText="1"/>
    </xf>
    <xf numFmtId="165" fontId="1" fillId="10" borderId="15" xfId="0" applyFont="1" applyFill="1" applyBorder="1" applyAlignment="1">
      <alignment horizontal="center" vertical="center" wrapText="1"/>
    </xf>
    <xf numFmtId="165" fontId="12" fillId="7" borderId="24" xfId="0" applyFont="1" applyFill="1" applyBorder="1" applyAlignment="1">
      <alignment horizontal="center" vertical="center"/>
    </xf>
    <xf numFmtId="165" fontId="45" fillId="0" borderId="0" xfId="0" applyFont="1" applyAlignment="1">
      <alignment horizontal="left" vertical="center" indent="7" readingOrder="1"/>
    </xf>
    <xf numFmtId="165" fontId="45" fillId="0" borderId="0" xfId="0" applyFont="1" applyAlignment="1">
      <alignment horizontal="left" vertical="center" readingOrder="1"/>
    </xf>
    <xf numFmtId="165" fontId="47" fillId="0" borderId="0" xfId="0" applyFont="1" applyAlignment="1">
      <alignment horizontal="left" vertical="center" indent="5" readingOrder="1"/>
    </xf>
    <xf numFmtId="165" fontId="46" fillId="0" borderId="0" xfId="0" applyFont="1" applyAlignment="1">
      <alignment horizontal="left" vertical="center" indent="2" readingOrder="1"/>
    </xf>
    <xf numFmtId="165" fontId="0" fillId="5" borderId="0" xfId="0" applyFont="1" applyFill="1" applyBorder="1"/>
    <xf numFmtId="11" fontId="44" fillId="9" borderId="29" xfId="0" applyNumberFormat="1" applyFont="1" applyFill="1" applyBorder="1"/>
    <xf numFmtId="11" fontId="44" fillId="9" borderId="31" xfId="0" applyNumberFormat="1" applyFont="1" applyFill="1" applyBorder="1"/>
    <xf numFmtId="165" fontId="0" fillId="9" borderId="33" xfId="0" applyFont="1" applyFill="1" applyBorder="1"/>
    <xf numFmtId="165" fontId="0" fillId="0" borderId="28" xfId="0" applyBorder="1" applyAlignment="1">
      <alignment horizontal="right"/>
    </xf>
    <xf numFmtId="165" fontId="0" fillId="0" borderId="36" xfId="0" applyBorder="1" applyAlignment="1">
      <alignment horizontal="right"/>
    </xf>
    <xf numFmtId="165" fontId="0" fillId="0" borderId="31" xfId="0" applyBorder="1"/>
    <xf numFmtId="165" fontId="7" fillId="5" borderId="28" xfId="0" applyFont="1" applyFill="1" applyBorder="1" applyAlignment="1">
      <alignment horizontal="left" vertical="center" wrapText="1" readingOrder="1"/>
    </xf>
    <xf numFmtId="165" fontId="7" fillId="5" borderId="36" xfId="0" applyFont="1" applyFill="1" applyBorder="1" applyAlignment="1">
      <alignment horizontal="left" vertical="center" wrapText="1" readingOrder="1"/>
    </xf>
    <xf numFmtId="1" fontId="51" fillId="9" borderId="41" xfId="0" applyNumberFormat="1" applyFont="1" applyFill="1" applyBorder="1"/>
    <xf numFmtId="2" fontId="14" fillId="9" borderId="39" xfId="0" applyNumberFormat="1" applyFont="1" applyFill="1" applyBorder="1" applyAlignment="1">
      <alignment horizontal="center"/>
    </xf>
    <xf numFmtId="165" fontId="3" fillId="4" borderId="0" xfId="0" applyFont="1" applyFill="1" applyBorder="1" applyAlignment="1">
      <alignment horizontal="center" vertical="center"/>
    </xf>
    <xf numFmtId="165" fontId="0" fillId="4" borderId="0" xfId="0" quotePrefix="1" applyFill="1" applyBorder="1"/>
    <xf numFmtId="165" fontId="0" fillId="4" borderId="0" xfId="0" applyFill="1" applyBorder="1"/>
    <xf numFmtId="165" fontId="2" fillId="4" borderId="0" xfId="0" applyFont="1" applyFill="1" applyBorder="1"/>
    <xf numFmtId="165" fontId="3" fillId="4" borderId="0" xfId="0" applyFont="1" applyFill="1" applyBorder="1" applyAlignment="1"/>
    <xf numFmtId="165" fontId="0" fillId="4" borderId="2" xfId="0" quotePrefix="1" applyFill="1" applyBorder="1"/>
    <xf numFmtId="165" fontId="3" fillId="4" borderId="7" xfId="0" applyFont="1" applyFill="1" applyBorder="1" applyAlignment="1">
      <alignment vertical="center"/>
    </xf>
    <xf numFmtId="165" fontId="3" fillId="4" borderId="7" xfId="0" applyFont="1" applyFill="1" applyBorder="1" applyAlignment="1">
      <alignment horizontal="center" vertical="top"/>
    </xf>
    <xf numFmtId="165" fontId="3" fillId="4" borderId="7" xfId="0" applyFont="1" applyFill="1" applyBorder="1" applyAlignment="1">
      <alignment vertical="top"/>
    </xf>
    <xf numFmtId="165" fontId="4" fillId="4" borderId="0" xfId="0" applyFont="1" applyFill="1" applyAlignment="1"/>
    <xf numFmtId="165" fontId="2" fillId="5" borderId="0" xfId="0" applyFont="1" applyFill="1"/>
    <xf numFmtId="165" fontId="43" fillId="4" borderId="0" xfId="0" applyFont="1" applyFill="1" applyBorder="1"/>
    <xf numFmtId="165" fontId="57" fillId="10" borderId="13" xfId="0" applyFont="1" applyFill="1" applyBorder="1" applyAlignment="1">
      <alignment horizontal="center" vertical="center" wrapText="1"/>
    </xf>
    <xf numFmtId="165" fontId="1" fillId="10" borderId="45" xfId="0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/>
    </xf>
    <xf numFmtId="165" fontId="57" fillId="5" borderId="0" xfId="0" applyFont="1" applyFill="1" applyBorder="1" applyAlignment="1">
      <alignment horizontal="center" vertical="center" wrapText="1"/>
    </xf>
    <xf numFmtId="167" fontId="0" fillId="5" borderId="0" xfId="0" applyNumberFormat="1" applyFill="1" applyBorder="1"/>
    <xf numFmtId="166" fontId="11" fillId="5" borderId="0" xfId="0" applyNumberFormat="1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9" borderId="0" xfId="0" applyFont="1" applyFill="1" applyBorder="1" applyAlignment="1">
      <alignment horizontal="right"/>
    </xf>
    <xf numFmtId="1" fontId="4" fillId="11" borderId="1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" fontId="43" fillId="5" borderId="0" xfId="0" applyNumberFormat="1" applyFont="1" applyFill="1" applyBorder="1" applyAlignment="1">
      <alignment horizontal="center"/>
    </xf>
    <xf numFmtId="2" fontId="14" fillId="10" borderId="0" xfId="0" applyNumberFormat="1" applyFont="1" applyFill="1" applyBorder="1"/>
    <xf numFmtId="2" fontId="14" fillId="10" borderId="13" xfId="0" applyNumberFormat="1" applyFont="1" applyFill="1" applyBorder="1"/>
    <xf numFmtId="2" fontId="15" fillId="10" borderId="13" xfId="0" applyNumberFormat="1" applyFont="1" applyFill="1" applyBorder="1"/>
    <xf numFmtId="1" fontId="14" fillId="10" borderId="11" xfId="0" applyNumberFormat="1" applyFont="1" applyFill="1" applyBorder="1"/>
    <xf numFmtId="1" fontId="43" fillId="11" borderId="13" xfId="0" applyNumberFormat="1" applyFont="1" applyFill="1" applyBorder="1" applyAlignment="1">
      <alignment horizontal="center"/>
    </xf>
    <xf numFmtId="1" fontId="0" fillId="5" borderId="0" xfId="0" applyNumberFormat="1" applyFill="1" applyBorder="1"/>
    <xf numFmtId="2" fontId="14" fillId="5" borderId="0" xfId="0" applyNumberFormat="1" applyFont="1" applyFill="1" applyBorder="1" applyAlignment="1">
      <alignment horizontal="center"/>
    </xf>
    <xf numFmtId="165" fontId="14" fillId="9" borderId="0" xfId="0" applyFont="1" applyFill="1" applyBorder="1" applyAlignment="1"/>
    <xf numFmtId="165" fontId="14" fillId="9" borderId="0" xfId="0" applyFont="1" applyFill="1" applyBorder="1"/>
    <xf numFmtId="2" fontId="14" fillId="9" borderId="0" xfId="0" applyNumberFormat="1" applyFont="1" applyFill="1" applyBorder="1"/>
    <xf numFmtId="2" fontId="15" fillId="9" borderId="0" xfId="0" applyNumberFormat="1" applyFont="1" applyFill="1" applyBorder="1"/>
    <xf numFmtId="1" fontId="1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0" fillId="9" borderId="0" xfId="0" applyNumberFormat="1" applyFill="1"/>
    <xf numFmtId="165" fontId="0" fillId="9" borderId="0" xfId="0" applyFill="1" applyAlignment="1">
      <alignment horizontal="center"/>
    </xf>
    <xf numFmtId="165" fontId="0" fillId="9" borderId="0" xfId="0" applyFill="1"/>
    <xf numFmtId="166" fontId="0" fillId="9" borderId="0" xfId="0" applyNumberFormat="1" applyFill="1"/>
    <xf numFmtId="165" fontId="14" fillId="10" borderId="33" xfId="0" applyFont="1" applyFill="1" applyBorder="1"/>
    <xf numFmtId="2" fontId="40" fillId="10" borderId="34" xfId="0" applyNumberFormat="1" applyFont="1" applyFill="1" applyBorder="1"/>
    <xf numFmtId="2" fontId="15" fillId="10" borderId="35" xfId="0" applyNumberFormat="1" applyFont="1" applyFill="1" applyBorder="1"/>
    <xf numFmtId="165" fontId="14" fillId="10" borderId="0" xfId="0" applyFont="1" applyFill="1" applyBorder="1"/>
    <xf numFmtId="2" fontId="14" fillId="5" borderId="30" xfId="0" applyNumberFormat="1" applyFont="1" applyFill="1" applyBorder="1"/>
    <xf numFmtId="2" fontId="14" fillId="10" borderId="35" xfId="0" applyNumberFormat="1" applyFont="1" applyFill="1" applyBorder="1"/>
    <xf numFmtId="1" fontId="4" fillId="11" borderId="13" xfId="0" applyNumberFormat="1" applyFont="1" applyFill="1" applyBorder="1" applyAlignment="1">
      <alignment horizontal="center" vertical="center"/>
    </xf>
    <xf numFmtId="165" fontId="13" fillId="10" borderId="10" xfId="0" applyFont="1" applyFill="1" applyBorder="1" applyAlignment="1">
      <alignment horizontal="center" vertical="center" wrapText="1"/>
    </xf>
    <xf numFmtId="165" fontId="0" fillId="9" borderId="0" xfId="0" applyFont="1" applyFill="1" applyBorder="1"/>
    <xf numFmtId="11" fontId="4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14" fillId="10" borderId="35" xfId="0" applyNumberFormat="1" applyFont="1" applyFill="1" applyBorder="1"/>
    <xf numFmtId="165" fontId="0" fillId="9" borderId="0" xfId="0" applyFill="1" applyBorder="1"/>
    <xf numFmtId="1" fontId="0" fillId="9" borderId="0" xfId="0" applyNumberFormat="1" applyFill="1" applyBorder="1"/>
    <xf numFmtId="165" fontId="0" fillId="9" borderId="0" xfId="0" applyFill="1" applyBorder="1" applyAlignment="1">
      <alignment horizontal="right"/>
    </xf>
    <xf numFmtId="1" fontId="44" fillId="5" borderId="34" xfId="0" applyNumberFormat="1" applyFont="1" applyFill="1" applyBorder="1"/>
    <xf numFmtId="165" fontId="0" fillId="9" borderId="0" xfId="0" applyFont="1" applyFill="1" applyBorder="1" applyAlignment="1">
      <alignment horizontal="left"/>
    </xf>
    <xf numFmtId="165" fontId="44" fillId="5" borderId="0" xfId="0" applyFont="1" applyFill="1" applyBorder="1"/>
    <xf numFmtId="165" fontId="0" fillId="0" borderId="0" xfId="0" applyAlignment="1">
      <alignment horizontal="center" textRotation="90"/>
    </xf>
    <xf numFmtId="165" fontId="0" fillId="8" borderId="0" xfId="0" applyFill="1"/>
    <xf numFmtId="167" fontId="0" fillId="10" borderId="51" xfId="0" applyNumberFormat="1" applyFill="1" applyBorder="1"/>
    <xf numFmtId="2" fontId="15" fillId="10" borderId="11" xfId="0" applyNumberFormat="1" applyFont="1" applyFill="1" applyBorder="1"/>
    <xf numFmtId="165" fontId="14" fillId="5" borderId="0" xfId="0" applyFont="1" applyFill="1" applyBorder="1" applyAlignment="1"/>
    <xf numFmtId="165" fontId="14" fillId="5" borderId="0" xfId="0" applyFont="1" applyFill="1" applyBorder="1" applyAlignment="1">
      <alignment horizontal="right"/>
    </xf>
    <xf numFmtId="165" fontId="0" fillId="5" borderId="33" xfId="0" applyFont="1" applyFill="1" applyBorder="1"/>
    <xf numFmtId="165" fontId="0" fillId="5" borderId="28" xfId="0" applyFont="1" applyFill="1" applyBorder="1"/>
    <xf numFmtId="11" fontId="44" fillId="5" borderId="29" xfId="0" applyNumberFormat="1" applyFont="1" applyFill="1" applyBorder="1"/>
    <xf numFmtId="165" fontId="0" fillId="5" borderId="36" xfId="0" applyFont="1" applyFill="1" applyBorder="1"/>
    <xf numFmtId="11" fontId="44" fillId="5" borderId="31" xfId="0" applyNumberFormat="1" applyFont="1" applyFill="1" applyBorder="1"/>
    <xf numFmtId="11" fontId="44" fillId="5" borderId="0" xfId="0" applyNumberFormat="1" applyFont="1" applyFill="1" applyBorder="1"/>
    <xf numFmtId="165" fontId="14" fillId="5" borderId="33" xfId="0" applyFont="1" applyFill="1" applyBorder="1" applyAlignment="1">
      <alignment horizontal="center"/>
    </xf>
    <xf numFmtId="165" fontId="0" fillId="5" borderId="34" xfId="0" applyFill="1" applyBorder="1"/>
    <xf numFmtId="165" fontId="0" fillId="5" borderId="0" xfId="0" applyFont="1" applyFill="1" applyBorder="1" applyAlignment="1">
      <alignment horizontal="left"/>
    </xf>
    <xf numFmtId="167" fontId="14" fillId="10" borderId="13" xfId="0" applyNumberFormat="1" applyFont="1" applyFill="1" applyBorder="1" applyAlignment="1">
      <alignment horizontal="center"/>
    </xf>
    <xf numFmtId="166" fontId="43" fillId="11" borderId="10" xfId="0" applyNumberFormat="1" applyFont="1" applyFill="1" applyBorder="1" applyAlignment="1">
      <alignment horizontal="center"/>
    </xf>
    <xf numFmtId="166" fontId="43" fillId="11" borderId="13" xfId="0" applyNumberFormat="1" applyFont="1" applyFill="1" applyBorder="1" applyAlignment="1">
      <alignment horizontal="center"/>
    </xf>
    <xf numFmtId="165" fontId="11" fillId="0" borderId="25" xfId="0" applyFont="1" applyBorder="1"/>
    <xf numFmtId="165" fontId="0" fillId="0" borderId="25" xfId="0" applyBorder="1" applyAlignment="1">
      <alignment horizontal="right"/>
    </xf>
    <xf numFmtId="165" fontId="14" fillId="13" borderId="0" xfId="0" applyFont="1" applyFill="1" applyBorder="1" applyAlignment="1">
      <alignment horizontal="center"/>
    </xf>
    <xf numFmtId="165" fontId="49" fillId="5" borderId="0" xfId="0" applyFont="1" applyFill="1" applyBorder="1"/>
    <xf numFmtId="165" fontId="51" fillId="5" borderId="0" xfId="0" applyFont="1" applyFill="1" applyBorder="1" applyAlignment="1">
      <alignment horizontal="center"/>
    </xf>
    <xf numFmtId="1" fontId="51" fillId="5" borderId="0" xfId="0" applyNumberFormat="1" applyFont="1" applyFill="1" applyBorder="1"/>
    <xf numFmtId="165" fontId="1" fillId="5" borderId="0" xfId="0" applyFont="1" applyFill="1" applyBorder="1" applyAlignment="1">
      <alignment horizontal="center" vertical="center" wrapText="1"/>
    </xf>
    <xf numFmtId="167" fontId="14" fillId="5" borderId="0" xfId="0" applyNumberFormat="1" applyFont="1" applyFill="1" applyBorder="1" applyAlignment="1">
      <alignment horizontal="center"/>
    </xf>
    <xf numFmtId="2" fontId="40" fillId="5" borderId="0" xfId="0" applyNumberFormat="1" applyFont="1" applyFill="1" applyBorder="1"/>
    <xf numFmtId="1" fontId="43" fillId="11" borderId="23" xfId="0" applyNumberFormat="1" applyFont="1" applyFill="1" applyBorder="1" applyAlignment="1">
      <alignment horizontal="center"/>
    </xf>
    <xf numFmtId="165" fontId="14" fillId="5" borderId="15" xfId="0" applyFont="1" applyFill="1" applyBorder="1"/>
    <xf numFmtId="1" fontId="4" fillId="11" borderId="12" xfId="0" applyNumberFormat="1" applyFont="1" applyFill="1" applyBorder="1" applyAlignment="1">
      <alignment horizontal="center" vertical="center"/>
    </xf>
    <xf numFmtId="1" fontId="4" fillId="11" borderId="24" xfId="0" applyNumberFormat="1" applyFont="1" applyFill="1" applyBorder="1" applyAlignment="1">
      <alignment horizontal="center" vertical="center"/>
    </xf>
    <xf numFmtId="165" fontId="1" fillId="7" borderId="10" xfId="0" applyFont="1" applyFill="1" applyBorder="1" applyAlignment="1">
      <alignment horizontal="center" vertical="center" wrapText="1"/>
    </xf>
    <xf numFmtId="165" fontId="12" fillId="7" borderId="10" xfId="0" applyFont="1" applyFill="1" applyBorder="1" applyAlignment="1">
      <alignment horizontal="center" vertical="center"/>
    </xf>
    <xf numFmtId="165" fontId="1" fillId="10" borderId="10" xfId="0" applyFont="1" applyFill="1" applyBorder="1" applyAlignment="1">
      <alignment horizontal="center" vertical="center" wrapText="1"/>
    </xf>
    <xf numFmtId="165" fontId="14" fillId="7" borderId="10" xfId="0" applyFont="1" applyFill="1" applyBorder="1" applyAlignment="1">
      <alignment horizontal="center"/>
    </xf>
    <xf numFmtId="2" fontId="14" fillId="10" borderId="10" xfId="0" applyNumberFormat="1" applyFont="1" applyFill="1" applyBorder="1"/>
    <xf numFmtId="2" fontId="15" fillId="10" borderId="10" xfId="0" applyNumberFormat="1" applyFont="1" applyFill="1" applyBorder="1"/>
    <xf numFmtId="1" fontId="14" fillId="10" borderId="10" xfId="0" applyNumberFormat="1" applyFont="1" applyFill="1" applyBorder="1"/>
    <xf numFmtId="1" fontId="16" fillId="2" borderId="10" xfId="0" applyNumberFormat="1" applyFont="1" applyFill="1" applyBorder="1" applyAlignment="1">
      <alignment horizontal="center"/>
    </xf>
    <xf numFmtId="165" fontId="11" fillId="14" borderId="10" xfId="0" applyFont="1" applyFill="1" applyBorder="1" applyAlignment="1">
      <alignment horizontal="center"/>
    </xf>
    <xf numFmtId="165" fontId="0" fillId="14" borderId="0" xfId="0" applyFill="1"/>
    <xf numFmtId="165" fontId="0" fillId="14" borderId="10" xfId="0" applyFill="1" applyBorder="1" applyAlignment="1">
      <alignment horizontal="center"/>
    </xf>
    <xf numFmtId="165" fontId="0" fillId="14" borderId="0" xfId="0" applyFill="1" applyBorder="1"/>
    <xf numFmtId="165" fontId="0" fillId="14" borderId="0" xfId="0" applyFill="1" applyBorder="1" applyAlignment="1">
      <alignment horizontal="center"/>
    </xf>
    <xf numFmtId="167" fontId="0" fillId="14" borderId="0" xfId="0" applyNumberFormat="1" applyFill="1" applyBorder="1" applyAlignment="1">
      <alignment horizontal="center"/>
    </xf>
    <xf numFmtId="165" fontId="11" fillId="14" borderId="0" xfId="0" applyFont="1" applyFill="1" applyBorder="1" applyAlignment="1">
      <alignment horizontal="center"/>
    </xf>
    <xf numFmtId="165" fontId="1" fillId="6" borderId="0" xfId="0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2" fontId="0" fillId="14" borderId="0" xfId="0" applyNumberFormat="1" applyFill="1" applyBorder="1" applyAlignment="1">
      <alignment horizontal="center"/>
    </xf>
    <xf numFmtId="165" fontId="0" fillId="14" borderId="0" xfId="0" applyFill="1" applyBorder="1" applyAlignment="1">
      <alignment horizontal="center" wrapText="1"/>
    </xf>
    <xf numFmtId="167" fontId="11" fillId="5" borderId="0" xfId="0" applyNumberFormat="1" applyFont="1" applyFill="1" applyBorder="1"/>
    <xf numFmtId="2" fontId="15" fillId="14" borderId="0" xfId="0" applyNumberFormat="1" applyFont="1" applyFill="1" applyBorder="1"/>
    <xf numFmtId="2" fontId="11" fillId="14" borderId="0" xfId="0" applyNumberFormat="1" applyFont="1" applyFill="1" applyBorder="1"/>
    <xf numFmtId="2" fontId="11" fillId="14" borderId="0" xfId="0" applyNumberFormat="1" applyFont="1" applyFill="1" applyBorder="1" applyAlignment="1">
      <alignment horizontal="center"/>
    </xf>
    <xf numFmtId="1" fontId="11" fillId="14" borderId="0" xfId="0" applyNumberFormat="1" applyFont="1" applyFill="1" applyBorder="1" applyAlignment="1">
      <alignment horizontal="center"/>
    </xf>
    <xf numFmtId="165" fontId="11" fillId="14" borderId="33" xfId="0" applyFont="1" applyFill="1" applyBorder="1"/>
    <xf numFmtId="165" fontId="11" fillId="14" borderId="28" xfId="0" applyFont="1" applyFill="1" applyBorder="1"/>
    <xf numFmtId="11" fontId="11" fillId="14" borderId="29" xfId="0" applyNumberFormat="1" applyFont="1" applyFill="1" applyBorder="1"/>
    <xf numFmtId="165" fontId="11" fillId="14" borderId="36" xfId="0" applyFont="1" applyFill="1" applyBorder="1"/>
    <xf numFmtId="11" fontId="11" fillId="14" borderId="31" xfId="0" applyNumberFormat="1" applyFont="1" applyFill="1" applyBorder="1"/>
    <xf numFmtId="167" fontId="14" fillId="14" borderId="13" xfId="0" applyNumberFormat="1" applyFont="1" applyFill="1" applyBorder="1" applyAlignment="1">
      <alignment horizontal="center"/>
    </xf>
    <xf numFmtId="167" fontId="0" fillId="14" borderId="0" xfId="0" applyNumberFormat="1" applyFill="1"/>
    <xf numFmtId="3" fontId="44" fillId="5" borderId="48" xfId="0" applyNumberFormat="1" applyFont="1" applyFill="1" applyBorder="1" applyAlignment="1">
      <alignment horizontal="center"/>
    </xf>
    <xf numFmtId="168" fontId="44" fillId="5" borderId="48" xfId="0" applyNumberFormat="1" applyFont="1" applyFill="1" applyBorder="1" applyAlignment="1">
      <alignment horizontal="center"/>
    </xf>
    <xf numFmtId="168" fontId="44" fillId="5" borderId="35" xfId="0" applyNumberFormat="1" applyFont="1" applyFill="1" applyBorder="1" applyAlignment="1">
      <alignment horizontal="center"/>
    </xf>
    <xf numFmtId="2" fontId="15" fillId="10" borderId="30" xfId="0" applyNumberFormat="1" applyFont="1" applyFill="1" applyBorder="1"/>
    <xf numFmtId="3" fontId="14" fillId="7" borderId="32" xfId="0" applyNumberFormat="1" applyFont="1" applyFill="1" applyBorder="1" applyAlignment="1">
      <alignment horizontal="center"/>
    </xf>
    <xf numFmtId="3" fontId="14" fillId="7" borderId="13" xfId="0" applyNumberFormat="1" applyFont="1" applyFill="1" applyBorder="1"/>
    <xf numFmtId="168" fontId="14" fillId="7" borderId="32" xfId="0" applyNumberFormat="1" applyFont="1" applyFill="1" applyBorder="1" applyAlignment="1">
      <alignment horizontal="center"/>
    </xf>
    <xf numFmtId="169" fontId="14" fillId="7" borderId="32" xfId="0" applyNumberFormat="1" applyFont="1" applyFill="1" applyBorder="1" applyAlignment="1">
      <alignment horizontal="center"/>
    </xf>
    <xf numFmtId="3" fontId="62" fillId="7" borderId="13" xfId="0" applyNumberFormat="1" applyFont="1" applyFill="1" applyBorder="1"/>
    <xf numFmtId="4" fontId="14" fillId="7" borderId="13" xfId="0" applyNumberFormat="1" applyFont="1" applyFill="1" applyBorder="1"/>
    <xf numFmtId="2" fontId="44" fillId="5" borderId="29" xfId="0" applyNumberFormat="1" applyFont="1" applyFill="1" applyBorder="1"/>
    <xf numFmtId="1" fontId="16" fillId="10" borderId="13" xfId="0" applyNumberFormat="1" applyFont="1" applyFill="1" applyBorder="1" applyAlignment="1">
      <alignment horizontal="center"/>
    </xf>
    <xf numFmtId="166" fontId="16" fillId="10" borderId="13" xfId="0" applyNumberFormat="1" applyFont="1" applyFill="1" applyBorder="1" applyAlignment="1">
      <alignment horizontal="center"/>
    </xf>
    <xf numFmtId="4" fontId="51" fillId="5" borderId="35" xfId="0" applyNumberFormat="1" applyFont="1" applyFill="1" applyBorder="1" applyAlignment="1">
      <alignment horizontal="center"/>
    </xf>
    <xf numFmtId="166" fontId="43" fillId="5" borderId="0" xfId="0" applyNumberFormat="1" applyFont="1" applyFill="1" applyBorder="1" applyAlignment="1">
      <alignment horizontal="center"/>
    </xf>
    <xf numFmtId="3" fontId="11" fillId="14" borderId="10" xfId="0" applyNumberFormat="1" applyFont="1" applyFill="1" applyBorder="1" applyAlignment="1">
      <alignment horizontal="center"/>
    </xf>
    <xf numFmtId="168" fontId="58" fillId="14" borderId="10" xfId="0" applyNumberFormat="1" applyFont="1" applyFill="1" applyBorder="1" applyAlignment="1">
      <alignment horizontal="center"/>
    </xf>
    <xf numFmtId="168" fontId="0" fillId="14" borderId="10" xfId="0" applyNumberFormat="1" applyFill="1" applyBorder="1" applyAlignment="1">
      <alignment horizontal="center"/>
    </xf>
    <xf numFmtId="3" fontId="51" fillId="9" borderId="10" xfId="0" applyNumberFormat="1" applyFont="1" applyFill="1" applyBorder="1" applyAlignment="1">
      <alignment horizontal="center"/>
    </xf>
    <xf numFmtId="3" fontId="14" fillId="5" borderId="0" xfId="0" applyNumberFormat="1" applyFont="1" applyFill="1" applyBorder="1" applyAlignment="1">
      <alignment horizontal="center"/>
    </xf>
    <xf numFmtId="3" fontId="14" fillId="5" borderId="14" xfId="0" applyNumberFormat="1" applyFont="1" applyFill="1" applyBorder="1" applyAlignment="1">
      <alignment horizontal="center"/>
    </xf>
    <xf numFmtId="3" fontId="62" fillId="5" borderId="15" xfId="0" applyNumberFormat="1" applyFont="1" applyFill="1" applyBorder="1"/>
    <xf numFmtId="3" fontId="14" fillId="5" borderId="15" xfId="0" applyNumberFormat="1" applyFont="1" applyFill="1" applyBorder="1"/>
    <xf numFmtId="4" fontId="14" fillId="5" borderId="0" xfId="0" applyNumberFormat="1" applyFont="1" applyFill="1" applyBorder="1"/>
    <xf numFmtId="3" fontId="14" fillId="5" borderId="0" xfId="0" applyNumberFormat="1" applyFont="1" applyFill="1" applyBorder="1"/>
    <xf numFmtId="1" fontId="16" fillId="5" borderId="0" xfId="0" applyNumberFormat="1" applyFont="1" applyFill="1" applyBorder="1" applyAlignment="1">
      <alignment horizontal="center"/>
    </xf>
    <xf numFmtId="3" fontId="0" fillId="0" borderId="27" xfId="0" applyNumberFormat="1" applyBorder="1"/>
    <xf numFmtId="3" fontId="0" fillId="0" borderId="29" xfId="0" applyNumberFormat="1" applyBorder="1"/>
    <xf numFmtId="4" fontId="0" fillId="0" borderId="27" xfId="0" applyNumberFormat="1" applyBorder="1" applyAlignment="1">
      <alignment horizontal="left"/>
    </xf>
    <xf numFmtId="4" fontId="0" fillId="0" borderId="29" xfId="0" applyNumberFormat="1" applyBorder="1" applyAlignment="1">
      <alignment horizontal="left"/>
    </xf>
    <xf numFmtId="4" fontId="7" fillId="5" borderId="31" xfId="0" applyNumberFormat="1" applyFont="1" applyFill="1" applyBorder="1" applyAlignment="1">
      <alignment horizontal="left" vertical="center" wrapText="1" readingOrder="1"/>
    </xf>
    <xf numFmtId="168" fontId="44" fillId="9" borderId="35" xfId="0" applyNumberFormat="1" applyFont="1" applyFill="1" applyBorder="1"/>
    <xf numFmtId="1" fontId="0" fillId="14" borderId="0" xfId="0" applyNumberFormat="1" applyFill="1"/>
    <xf numFmtId="166" fontId="0" fillId="14" borderId="0" xfId="0" applyNumberFormat="1" applyFill="1"/>
    <xf numFmtId="165" fontId="0" fillId="14" borderId="0" xfId="0" applyFill="1" applyAlignment="1">
      <alignment horizontal="center"/>
    </xf>
    <xf numFmtId="4" fontId="51" fillId="9" borderId="35" xfId="0" applyNumberFormat="1" applyFont="1" applyFill="1" applyBorder="1" applyAlignment="1">
      <alignment horizontal="center"/>
    </xf>
    <xf numFmtId="3" fontId="14" fillId="7" borderId="10" xfId="0" applyNumberFormat="1" applyFont="1" applyFill="1" applyBorder="1" applyAlignment="1">
      <alignment horizontal="center"/>
    </xf>
    <xf numFmtId="3" fontId="14" fillId="7" borderId="10" xfId="0" applyNumberFormat="1" applyFont="1" applyFill="1" applyBorder="1"/>
    <xf numFmtId="4" fontId="14" fillId="7" borderId="10" xfId="0" applyNumberFormat="1" applyFont="1" applyFill="1" applyBorder="1"/>
    <xf numFmtId="3" fontId="62" fillId="7" borderId="10" xfId="0" applyNumberFormat="1" applyFont="1" applyFill="1" applyBorder="1"/>
    <xf numFmtId="1" fontId="16" fillId="10" borderId="10" xfId="0" applyNumberFormat="1" applyFont="1" applyFill="1" applyBorder="1" applyAlignment="1">
      <alignment horizontal="center"/>
    </xf>
    <xf numFmtId="167" fontId="14" fillId="10" borderId="45" xfId="0" applyNumberFormat="1" applyFont="1" applyFill="1" applyBorder="1" applyAlignment="1">
      <alignment horizontal="center"/>
    </xf>
    <xf numFmtId="165" fontId="1" fillId="5" borderId="15" xfId="0" applyFont="1" applyFill="1" applyBorder="1" applyAlignment="1">
      <alignment horizontal="center" vertical="center" wrapText="1"/>
    </xf>
    <xf numFmtId="2" fontId="40" fillId="10" borderId="39" xfId="0" applyNumberFormat="1" applyFont="1" applyFill="1" applyBorder="1" applyAlignment="1">
      <alignment horizontal="center"/>
    </xf>
    <xf numFmtId="2" fontId="14" fillId="10" borderId="41" xfId="0" applyNumberFormat="1" applyFont="1" applyFill="1" applyBorder="1" applyAlignment="1">
      <alignment horizontal="center"/>
    </xf>
    <xf numFmtId="2" fontId="40" fillId="10" borderId="41" xfId="0" applyNumberFormat="1" applyFont="1" applyFill="1" applyBorder="1" applyAlignment="1">
      <alignment horizontal="center"/>
    </xf>
    <xf numFmtId="1" fontId="14" fillId="10" borderId="43" xfId="0" applyNumberFormat="1" applyFont="1" applyFill="1" applyBorder="1" applyAlignment="1">
      <alignment horizontal="center"/>
    </xf>
    <xf numFmtId="165" fontId="14" fillId="9" borderId="10" xfId="0" applyFont="1" applyFill="1" applyBorder="1" applyAlignment="1">
      <alignment horizontal="center"/>
    </xf>
    <xf numFmtId="165" fontId="0" fillId="9" borderId="10" xfId="0" applyFill="1" applyBorder="1"/>
    <xf numFmtId="1" fontId="44" fillId="9" borderId="10" xfId="0" applyNumberFormat="1" applyFont="1" applyFill="1" applyBorder="1"/>
    <xf numFmtId="168" fontId="44" fillId="9" borderId="10" xfId="0" applyNumberFormat="1" applyFont="1" applyFill="1" applyBorder="1" applyAlignment="1">
      <alignment horizontal="center"/>
    </xf>
    <xf numFmtId="3" fontId="44" fillId="9" borderId="10" xfId="0" applyNumberFormat="1" applyFont="1" applyFill="1" applyBorder="1" applyAlignment="1">
      <alignment horizontal="center"/>
    </xf>
    <xf numFmtId="11" fontId="44" fillId="9" borderId="35" xfId="0" applyNumberFormat="1" applyFont="1" applyFill="1" applyBorder="1"/>
    <xf numFmtId="165" fontId="14" fillId="9" borderId="30" xfId="0" applyFont="1" applyFill="1" applyBorder="1" applyAlignment="1">
      <alignment horizontal="right"/>
    </xf>
    <xf numFmtId="167" fontId="14" fillId="10" borderId="31" xfId="0" applyNumberFormat="1" applyFont="1" applyFill="1" applyBorder="1" applyAlignment="1">
      <alignment horizontal="center"/>
    </xf>
    <xf numFmtId="3" fontId="14" fillId="7" borderId="35" xfId="0" applyNumberFormat="1" applyFont="1" applyFill="1" applyBorder="1" applyAlignment="1">
      <alignment horizontal="center"/>
    </xf>
    <xf numFmtId="167" fontId="14" fillId="10" borderId="35" xfId="0" applyNumberFormat="1" applyFont="1" applyFill="1" applyBorder="1" applyAlignment="1">
      <alignment horizontal="center"/>
    </xf>
    <xf numFmtId="165" fontId="9" fillId="5" borderId="0" xfId="0" applyFont="1" applyFill="1" applyBorder="1" applyAlignment="1">
      <alignment vertical="top"/>
    </xf>
    <xf numFmtId="165" fontId="9" fillId="4" borderId="0" xfId="0" applyFont="1" applyFill="1" applyBorder="1" applyAlignment="1">
      <alignment vertical="top"/>
    </xf>
    <xf numFmtId="165" fontId="0" fillId="15" borderId="10" xfId="0" applyFill="1" applyBorder="1" applyAlignment="1">
      <alignment horizontal="center"/>
    </xf>
    <xf numFmtId="1" fontId="60" fillId="15" borderId="10" xfId="0" applyNumberFormat="1" applyFont="1" applyFill="1" applyBorder="1" applyAlignment="1">
      <alignment horizontal="center" vertical="top" wrapText="1"/>
    </xf>
    <xf numFmtId="167" fontId="59" fillId="15" borderId="10" xfId="0" applyNumberFormat="1" applyFont="1" applyFill="1" applyBorder="1" applyAlignment="1">
      <alignment horizontal="center" vertical="top" wrapText="1"/>
    </xf>
    <xf numFmtId="1" fontId="0" fillId="5" borderId="0" xfId="0" applyNumberFormat="1" applyFill="1"/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65" fontId="0" fillId="5" borderId="0" xfId="0" applyFill="1" applyAlignment="1">
      <alignment horizontal="center"/>
    </xf>
    <xf numFmtId="169" fontId="11" fillId="14" borderId="35" xfId="0" applyNumberFormat="1" applyFont="1" applyFill="1" applyBorder="1"/>
    <xf numFmtId="169" fontId="11" fillId="14" borderId="29" xfId="0" applyNumberFormat="1" applyFont="1" applyFill="1" applyBorder="1"/>
    <xf numFmtId="3" fontId="14" fillId="14" borderId="32" xfId="0" applyNumberFormat="1" applyFont="1" applyFill="1" applyBorder="1" applyAlignment="1">
      <alignment horizontal="center"/>
    </xf>
    <xf numFmtId="3" fontId="44" fillId="5" borderId="35" xfId="0" applyNumberFormat="1" applyFont="1" applyFill="1" applyBorder="1"/>
    <xf numFmtId="3" fontId="44" fillId="5" borderId="53" xfId="0" applyNumberFormat="1" applyFont="1" applyFill="1" applyBorder="1" applyAlignment="1">
      <alignment horizontal="center"/>
    </xf>
    <xf numFmtId="3" fontId="51" fillId="9" borderId="48" xfId="0" applyNumberFormat="1" applyFont="1" applyFill="1" applyBorder="1"/>
    <xf numFmtId="168" fontId="44" fillId="5" borderId="35" xfId="0" applyNumberFormat="1" applyFont="1" applyFill="1" applyBorder="1"/>
    <xf numFmtId="168" fontId="44" fillId="5" borderId="53" xfId="0" applyNumberFormat="1" applyFont="1" applyFill="1" applyBorder="1" applyAlignment="1">
      <alignment horizontal="center"/>
    </xf>
    <xf numFmtId="168" fontId="51" fillId="9" borderId="48" xfId="0" applyNumberFormat="1" applyFont="1" applyFill="1" applyBorder="1"/>
    <xf numFmtId="168" fontId="15" fillId="14" borderId="10" xfId="0" applyNumberFormat="1" applyFont="1" applyFill="1" applyBorder="1" applyAlignment="1">
      <alignment horizontal="center"/>
    </xf>
    <xf numFmtId="169" fontId="11" fillId="14" borderId="0" xfId="0" applyNumberFormat="1" applyFont="1" applyFill="1" applyBorder="1" applyAlignment="1">
      <alignment horizontal="center"/>
    </xf>
    <xf numFmtId="3" fontId="51" fillId="9" borderId="35" xfId="0" applyNumberFormat="1" applyFon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1" fontId="44" fillId="5" borderId="35" xfId="0" applyNumberFormat="1" applyFont="1" applyFill="1" applyBorder="1"/>
    <xf numFmtId="169" fontId="51" fillId="14" borderId="48" xfId="0" applyNumberFormat="1" applyFont="1" applyFill="1" applyBorder="1"/>
    <xf numFmtId="166" fontId="0" fillId="5" borderId="0" xfId="0" applyNumberFormat="1" applyFill="1"/>
    <xf numFmtId="165" fontId="0" fillId="5" borderId="0" xfId="0" applyFill="1" applyBorder="1" applyAlignment="1">
      <alignment textRotation="90"/>
    </xf>
    <xf numFmtId="165" fontId="11" fillId="5" borderId="0" xfId="0" applyFont="1" applyFill="1" applyBorder="1" applyAlignment="1">
      <alignment horizontal="center"/>
    </xf>
    <xf numFmtId="3" fontId="11" fillId="5" borderId="0" xfId="0" applyNumberFormat="1" applyFont="1" applyFill="1" applyBorder="1" applyAlignment="1">
      <alignment horizontal="center"/>
    </xf>
    <xf numFmtId="3" fontId="58" fillId="5" borderId="0" xfId="0" applyNumberFormat="1" applyFont="1" applyFill="1" applyBorder="1" applyAlignment="1">
      <alignment horizontal="center"/>
    </xf>
    <xf numFmtId="3" fontId="0" fillId="5" borderId="0" xfId="0" applyNumberFormat="1" applyFill="1" applyBorder="1" applyAlignment="1">
      <alignment horizontal="center"/>
    </xf>
    <xf numFmtId="166" fontId="0" fillId="5" borderId="0" xfId="0" applyNumberFormat="1" applyFill="1" applyBorder="1"/>
    <xf numFmtId="165" fontId="44" fillId="5" borderId="58" xfId="0" applyFont="1" applyFill="1" applyBorder="1"/>
    <xf numFmtId="165" fontId="0" fillId="5" borderId="59" xfId="0" applyFont="1" applyFill="1" applyBorder="1"/>
    <xf numFmtId="3" fontId="21" fillId="5" borderId="0" xfId="0" applyNumberFormat="1" applyFont="1" applyFill="1" applyBorder="1" applyAlignment="1">
      <alignment horizontal="center" vertical="center"/>
    </xf>
    <xf numFmtId="3" fontId="0" fillId="4" borderId="0" xfId="0" applyNumberFormat="1" applyFill="1" applyBorder="1" applyAlignment="1">
      <alignment horizontal="right"/>
    </xf>
    <xf numFmtId="3" fontId="0" fillId="4" borderId="0" xfId="0" applyNumberForma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0" fillId="5" borderId="0" xfId="0" applyNumberForma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65" fontId="0" fillId="5" borderId="0" xfId="0" applyFill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0" fillId="5" borderId="0" xfId="0" applyFill="1" applyBorder="1" applyAlignment="1">
      <alignment horizontal="left"/>
    </xf>
    <xf numFmtId="165" fontId="65" fillId="4" borderId="0" xfId="0" applyFont="1" applyFill="1" applyBorder="1"/>
    <xf numFmtId="165" fontId="2" fillId="4" borderId="0" xfId="0" applyFont="1" applyFill="1" applyBorder="1" applyAlignment="1">
      <alignment horizontal="right"/>
    </xf>
    <xf numFmtId="165" fontId="2" fillId="4" borderId="0" xfId="0" applyFont="1" applyFill="1" applyBorder="1" applyAlignment="1">
      <alignment horizontal="center"/>
    </xf>
    <xf numFmtId="165" fontId="66" fillId="4" borderId="0" xfId="0" applyFont="1" applyFill="1" applyBorder="1"/>
    <xf numFmtId="165" fontId="58" fillId="5" borderId="0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61" fillId="0" borderId="0" xfId="1" applyBorder="1"/>
    <xf numFmtId="165" fontId="0" fillId="4" borderId="4" xfId="0" applyFill="1" applyBorder="1" applyAlignment="1"/>
    <xf numFmtId="165" fontId="54" fillId="4" borderId="0" xfId="0" applyFont="1" applyFill="1" applyBorder="1" applyAlignment="1">
      <alignment vertical="center" wrapText="1"/>
    </xf>
    <xf numFmtId="3" fontId="4" fillId="4" borderId="0" xfId="0" applyNumberFormat="1" applyFont="1" applyFill="1" applyBorder="1" applyAlignment="1"/>
    <xf numFmtId="165" fontId="69" fillId="8" borderId="0" xfId="0" applyFont="1" applyFill="1" applyBorder="1" applyAlignment="1">
      <alignment wrapText="1"/>
    </xf>
    <xf numFmtId="165" fontId="0" fillId="8" borderId="0" xfId="0" applyFill="1" applyBorder="1" applyAlignment="1"/>
    <xf numFmtId="165" fontId="0" fillId="4" borderId="5" xfId="0" applyFill="1" applyBorder="1" applyAlignment="1"/>
    <xf numFmtId="165" fontId="0" fillId="4" borderId="1" xfId="0" applyFill="1" applyBorder="1" applyAlignment="1"/>
    <xf numFmtId="165" fontId="0" fillId="4" borderId="3" xfId="0" applyFill="1" applyBorder="1" applyAlignment="1"/>
    <xf numFmtId="165" fontId="0" fillId="4" borderId="6" xfId="0" applyFill="1" applyBorder="1" applyAlignment="1"/>
    <xf numFmtId="165" fontId="0" fillId="4" borderId="8" xfId="0" applyFill="1" applyBorder="1" applyAlignment="1"/>
    <xf numFmtId="165" fontId="55" fillId="4" borderId="0" xfId="0" applyFont="1" applyFill="1" applyBorder="1"/>
    <xf numFmtId="165" fontId="55" fillId="4" borderId="7" xfId="0" applyFont="1" applyFill="1" applyBorder="1"/>
    <xf numFmtId="165" fontId="55" fillId="4" borderId="4" xfId="0" applyFont="1" applyFill="1" applyBorder="1"/>
    <xf numFmtId="165" fontId="55" fillId="4" borderId="0" xfId="0" applyFont="1" applyFill="1" applyBorder="1" applyAlignment="1"/>
    <xf numFmtId="165" fontId="55" fillId="4" borderId="6" xfId="0" applyFont="1" applyFill="1" applyBorder="1"/>
    <xf numFmtId="165" fontId="55" fillId="4" borderId="7" xfId="0" applyFont="1" applyFill="1" applyBorder="1" applyAlignment="1"/>
    <xf numFmtId="165" fontId="54" fillId="4" borderId="7" xfId="0" applyFont="1" applyFill="1" applyBorder="1" applyAlignment="1">
      <alignment vertical="center"/>
    </xf>
    <xf numFmtId="4" fontId="18" fillId="5" borderId="0" xfId="0" applyNumberFormat="1" applyFont="1" applyFill="1" applyBorder="1" applyAlignment="1"/>
    <xf numFmtId="165" fontId="0" fillId="5" borderId="0" xfId="0" applyFill="1" applyBorder="1" applyAlignment="1">
      <alignment horizontal="center"/>
    </xf>
    <xf numFmtId="168" fontId="21" fillId="5" borderId="0" xfId="0" applyNumberFormat="1" applyFont="1" applyFill="1" applyBorder="1" applyAlignment="1">
      <alignment horizontal="center" vertical="center"/>
    </xf>
    <xf numFmtId="165" fontId="71" fillId="8" borderId="0" xfId="0" applyFont="1" applyFill="1" applyBorder="1" applyAlignment="1">
      <alignment vertical="top"/>
    </xf>
    <xf numFmtId="165" fontId="71" fillId="4" borderId="0" xfId="0" applyFont="1" applyFill="1" applyBorder="1" applyAlignment="1">
      <alignment vertical="top"/>
    </xf>
    <xf numFmtId="165" fontId="0" fillId="5" borderId="0" xfId="0" applyFont="1" applyFill="1" applyBorder="1" applyAlignment="1"/>
    <xf numFmtId="4" fontId="0" fillId="5" borderId="0" xfId="0" applyNumberFormat="1" applyFont="1" applyFill="1" applyBorder="1" applyAlignment="1">
      <alignment horizontal="left"/>
    </xf>
    <xf numFmtId="3" fontId="21" fillId="5" borderId="0" xfId="0" quotePrefix="1" applyNumberFormat="1" applyFont="1" applyFill="1" applyBorder="1" applyAlignment="1">
      <alignment horizontal="center" vertical="center"/>
    </xf>
    <xf numFmtId="165" fontId="70" fillId="5" borderId="0" xfId="0" applyFont="1" applyFill="1" applyBorder="1"/>
    <xf numFmtId="165" fontId="19" fillId="5" borderId="0" xfId="0" applyFont="1" applyFill="1" applyBorder="1"/>
    <xf numFmtId="165" fontId="0" fillId="4" borderId="0" xfId="0" applyFill="1" applyBorder="1"/>
    <xf numFmtId="165" fontId="0" fillId="4" borderId="0" xfId="0" applyFill="1" applyBorder="1"/>
    <xf numFmtId="165" fontId="2" fillId="5" borderId="0" xfId="0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53" fillId="4" borderId="0" xfId="0" applyFont="1" applyFill="1" applyBorder="1" applyAlignment="1"/>
    <xf numFmtId="165" fontId="54" fillId="4" borderId="0" xfId="0" applyFont="1" applyFill="1" applyBorder="1" applyAlignment="1">
      <alignment vertical="top"/>
    </xf>
    <xf numFmtId="165" fontId="3" fillId="4" borderId="0" xfId="0" applyFont="1" applyFill="1" applyBorder="1" applyAlignment="1">
      <alignment vertical="top"/>
    </xf>
    <xf numFmtId="165" fontId="54" fillId="5" borderId="0" xfId="0" applyFont="1" applyFill="1" applyBorder="1" applyAlignment="1">
      <alignment vertical="center" wrapText="1"/>
    </xf>
    <xf numFmtId="165" fontId="73" fillId="4" borderId="0" xfId="0" applyFont="1" applyFill="1" applyBorder="1" applyAlignment="1">
      <alignment horizontal="center" vertical="center" wrapText="1"/>
    </xf>
    <xf numFmtId="165" fontId="52" fillId="5" borderId="0" xfId="0" applyFont="1" applyFill="1" applyAlignment="1">
      <alignment vertical="center"/>
    </xf>
    <xf numFmtId="165" fontId="11" fillId="5" borderId="0" xfId="0" applyFont="1" applyFill="1"/>
    <xf numFmtId="165" fontId="44" fillId="5" borderId="0" xfId="0" applyFont="1" applyFill="1" applyBorder="1" applyAlignment="1">
      <alignment vertical="center"/>
    </xf>
    <xf numFmtId="165" fontId="0" fillId="4" borderId="0" xfId="0" applyFill="1" applyBorder="1"/>
    <xf numFmtId="165" fontId="14" fillId="7" borderId="10" xfId="0" applyFont="1" applyFill="1" applyBorder="1" applyAlignment="1">
      <alignment horizontal="center"/>
    </xf>
    <xf numFmtId="165" fontId="40" fillId="13" borderId="0" xfId="0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74" fillId="0" borderId="0" xfId="0" applyFont="1"/>
    <xf numFmtId="165" fontId="74" fillId="0" borderId="68" xfId="0" applyFont="1" applyBorder="1"/>
    <xf numFmtId="165" fontId="74" fillId="0" borderId="0" xfId="0" applyFont="1" applyAlignment="1">
      <alignment horizontal="center" vertical="center"/>
    </xf>
    <xf numFmtId="165" fontId="74" fillId="0" borderId="0" xfId="0" applyFont="1" applyBorder="1" applyAlignment="1">
      <alignment vertical="center"/>
    </xf>
    <xf numFmtId="165" fontId="74" fillId="0" borderId="0" xfId="0" applyFont="1" applyAlignment="1">
      <alignment horizontal="center" textRotation="90"/>
    </xf>
    <xf numFmtId="165" fontId="74" fillId="0" borderId="0" xfId="0" applyFont="1" applyAlignment="1">
      <alignment textRotation="90"/>
    </xf>
    <xf numFmtId="165" fontId="74" fillId="0" borderId="0" xfId="0" applyFont="1" applyAlignment="1">
      <alignment horizontal="center" vertical="center" textRotation="90"/>
    </xf>
    <xf numFmtId="165" fontId="74" fillId="16" borderId="0" xfId="0" applyFont="1" applyFill="1"/>
    <xf numFmtId="165" fontId="74" fillId="17" borderId="0" xfId="0" applyFont="1" applyFill="1"/>
    <xf numFmtId="165" fontId="74" fillId="0" borderId="0" xfId="0" applyFont="1" applyFill="1"/>
    <xf numFmtId="165" fontId="74" fillId="21" borderId="68" xfId="0" applyFont="1" applyFill="1" applyBorder="1" applyAlignment="1">
      <alignment horizontal="center" vertical="center" textRotation="90"/>
    </xf>
    <xf numFmtId="165" fontId="74" fillId="22" borderId="68" xfId="0" applyFont="1" applyFill="1" applyBorder="1" applyAlignment="1">
      <alignment horizontal="center" vertical="center" textRotation="90" wrapText="1"/>
    </xf>
    <xf numFmtId="165" fontId="74" fillId="22" borderId="68" xfId="0" applyFont="1" applyFill="1" applyBorder="1" applyAlignment="1">
      <alignment horizontal="center" vertical="center" textRotation="90"/>
    </xf>
    <xf numFmtId="165" fontId="74" fillId="5" borderId="0" xfId="0" applyFont="1" applyFill="1" applyAlignment="1">
      <alignment textRotation="90"/>
    </xf>
    <xf numFmtId="165" fontId="74" fillId="23" borderId="0" xfId="0" applyFont="1" applyFill="1"/>
    <xf numFmtId="165" fontId="75" fillId="23" borderId="0" xfId="0" applyFont="1" applyFill="1" applyAlignment="1">
      <alignment horizontal="center" vertical="center" textRotation="90"/>
    </xf>
    <xf numFmtId="165" fontId="75" fillId="16" borderId="0" xfId="0" applyFont="1" applyFill="1" applyAlignment="1">
      <alignment horizontal="center" vertical="center" textRotation="90"/>
    </xf>
    <xf numFmtId="165" fontId="74" fillId="0" borderId="0" xfId="0" applyFont="1" applyFill="1" applyBorder="1"/>
    <xf numFmtId="165" fontId="75" fillId="0" borderId="0" xfId="0" applyFont="1" applyFill="1" applyBorder="1" applyAlignment="1">
      <alignment horizontal="center" vertical="center" textRotation="90"/>
    </xf>
    <xf numFmtId="165" fontId="75" fillId="20" borderId="0" xfId="0" applyFont="1" applyFill="1"/>
    <xf numFmtId="165" fontId="74" fillId="0" borderId="30" xfId="0" applyFont="1" applyBorder="1"/>
    <xf numFmtId="165" fontId="74" fillId="8" borderId="0" xfId="0" applyFont="1" applyFill="1" applyBorder="1" applyAlignment="1">
      <alignment horizontal="center" vertical="center" textRotation="90" wrapText="1"/>
    </xf>
    <xf numFmtId="165" fontId="74" fillId="25" borderId="0" xfId="0" applyFont="1" applyFill="1"/>
    <xf numFmtId="165" fontId="74" fillId="8" borderId="0" xfId="0" applyFont="1" applyFill="1"/>
    <xf numFmtId="165" fontId="75" fillId="25" borderId="0" xfId="0" applyFont="1" applyFill="1" applyBorder="1" applyAlignment="1">
      <alignment horizontal="center" vertical="center" textRotation="90" wrapText="1"/>
    </xf>
    <xf numFmtId="165" fontId="40" fillId="0" borderId="0" xfId="0" applyFont="1"/>
    <xf numFmtId="165" fontId="74" fillId="5" borderId="0" xfId="0" applyFont="1" applyFill="1"/>
    <xf numFmtId="165" fontId="55" fillId="0" borderId="0" xfId="0" applyFont="1"/>
    <xf numFmtId="167" fontId="40" fillId="10" borderId="34" xfId="0" applyNumberFormat="1" applyFont="1" applyFill="1" applyBorder="1"/>
    <xf numFmtId="1" fontId="43" fillId="11" borderId="0" xfId="0" applyNumberFormat="1" applyFont="1" applyFill="1" applyBorder="1" applyAlignment="1">
      <alignment horizontal="center"/>
    </xf>
    <xf numFmtId="1" fontId="14" fillId="18" borderId="10" xfId="0" applyNumberFormat="1" applyFont="1" applyFill="1" applyBorder="1"/>
    <xf numFmtId="3" fontId="14" fillId="18" borderId="10" xfId="0" applyNumberFormat="1" applyFont="1" applyFill="1" applyBorder="1"/>
    <xf numFmtId="3" fontId="14" fillId="18" borderId="13" xfId="0" applyNumberFormat="1" applyFont="1" applyFill="1" applyBorder="1"/>
    <xf numFmtId="165" fontId="14" fillId="18" borderId="0" xfId="0" applyFont="1" applyFill="1" applyBorder="1"/>
    <xf numFmtId="9" fontId="51" fillId="9" borderId="48" xfId="2" applyFont="1" applyFill="1" applyBorder="1"/>
    <xf numFmtId="1" fontId="14" fillId="18" borderId="11" xfId="0" applyNumberFormat="1" applyFont="1" applyFill="1" applyBorder="1"/>
    <xf numFmtId="165" fontId="0" fillId="4" borderId="0" xfId="0" applyFill="1" applyBorder="1"/>
    <xf numFmtId="165" fontId="73" fillId="4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wrapText="1"/>
    </xf>
    <xf numFmtId="165" fontId="69" fillId="8" borderId="0" xfId="0" applyFont="1" applyFill="1" applyBorder="1" applyAlignment="1">
      <alignment horizontal="left" wrapText="1"/>
    </xf>
    <xf numFmtId="165" fontId="20" fillId="5" borderId="0" xfId="0" applyFont="1" applyFill="1" applyBorder="1" applyAlignment="1">
      <alignment horizontal="center" wrapText="1"/>
    </xf>
    <xf numFmtId="165" fontId="20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vertic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165" fontId="27" fillId="5" borderId="0" xfId="0" applyFont="1" applyFill="1" applyBorder="1" applyAlignment="1">
      <alignment horizontal="center"/>
    </xf>
    <xf numFmtId="165" fontId="28" fillId="5" borderId="0" xfId="0" applyFont="1" applyFill="1" applyBorder="1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3" fontId="35" fillId="5" borderId="22" xfId="0" applyNumberFormat="1" applyFont="1" applyFill="1" applyBorder="1" applyAlignment="1">
      <alignment horizontal="right" vertical="center"/>
    </xf>
    <xf numFmtId="3" fontId="37" fillId="5" borderId="0" xfId="0" applyNumberFormat="1" applyFont="1" applyFill="1" applyBorder="1" applyAlignment="1">
      <alignment horizontal="right" vertical="center"/>
    </xf>
    <xf numFmtId="165" fontId="0" fillId="5" borderId="0" xfId="0" applyFill="1" applyBorder="1" applyAlignment="1">
      <alignment horizontal="right"/>
    </xf>
    <xf numFmtId="165" fontId="35" fillId="5" borderId="0" xfId="0" applyFont="1" applyFill="1" applyBorder="1" applyAlignment="1">
      <alignment horizontal="right" vertical="center"/>
    </xf>
    <xf numFmtId="165" fontId="0" fillId="4" borderId="0" xfId="0" applyFill="1" applyBorder="1"/>
    <xf numFmtId="165" fontId="0" fillId="5" borderId="0" xfId="0" applyFill="1" applyBorder="1" applyAlignment="1">
      <alignment horizont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165" fontId="27" fillId="5" borderId="0" xfId="0" applyFont="1" applyFill="1" applyBorder="1" applyAlignment="1">
      <alignment horizontal="center"/>
    </xf>
    <xf numFmtId="165" fontId="28" fillId="5" borderId="0" xfId="0" applyFont="1" applyFill="1" applyBorder="1" applyAlignment="1">
      <alignment horizontal="center"/>
    </xf>
    <xf numFmtId="165" fontId="32" fillId="5" borderId="0" xfId="0" applyFont="1" applyFill="1" applyBorder="1" applyAlignment="1">
      <alignment horizontal="center" vertical="center" wrapText="1"/>
    </xf>
    <xf numFmtId="165" fontId="35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right"/>
    </xf>
    <xf numFmtId="165" fontId="13" fillId="5" borderId="30" xfId="0" applyFont="1" applyFill="1" applyBorder="1" applyAlignment="1">
      <alignment horizontal="center" vertical="center" wrapText="1"/>
    </xf>
    <xf numFmtId="165" fontId="37" fillId="5" borderId="0" xfId="0" applyFont="1" applyFill="1" applyBorder="1" applyAlignment="1">
      <alignment horizontal="right" vertical="center"/>
    </xf>
    <xf numFmtId="165" fontId="81" fillId="4" borderId="0" xfId="0" applyFont="1" applyFill="1" applyBorder="1" applyAlignment="1"/>
    <xf numFmtId="165" fontId="81" fillId="4" borderId="0" xfId="0" applyFont="1" applyFill="1" applyBorder="1"/>
    <xf numFmtId="165" fontId="5" fillId="4" borderId="0" xfId="0" applyFont="1" applyFill="1" applyBorder="1" applyAlignment="1">
      <alignment vertical="center" wrapText="1"/>
    </xf>
    <xf numFmtId="165" fontId="81" fillId="4" borderId="0" xfId="0" applyFont="1" applyFill="1" applyBorder="1" applyAlignment="1">
      <alignment horizontal="center" vertical="center"/>
    </xf>
    <xf numFmtId="165" fontId="82" fillId="4" borderId="0" xfId="0" applyFont="1" applyFill="1" applyBorder="1" applyAlignment="1">
      <alignment horizontal="center" vertical="center"/>
    </xf>
    <xf numFmtId="165" fontId="11" fillId="5" borderId="0" xfId="0" applyFont="1" applyFill="1" applyBorder="1"/>
    <xf numFmtId="165" fontId="13" fillId="5" borderId="30" xfId="0" applyFont="1" applyFill="1" applyBorder="1" applyAlignment="1">
      <alignment vertical="center" wrapText="1"/>
    </xf>
    <xf numFmtId="165" fontId="32" fillId="5" borderId="0" xfId="0" applyFont="1" applyFill="1" applyBorder="1" applyAlignment="1">
      <alignment vertical="center" wrapText="1"/>
    </xf>
    <xf numFmtId="3" fontId="84" fillId="5" borderId="0" xfId="0" applyNumberFormat="1" applyFont="1" applyFill="1" applyBorder="1" applyAlignment="1">
      <alignment horizontal="center" vertical="center"/>
    </xf>
    <xf numFmtId="3" fontId="83" fillId="5" borderId="0" xfId="0" applyNumberFormat="1" applyFont="1" applyFill="1" applyBorder="1" applyAlignment="1">
      <alignment horizontal="center" vertical="center"/>
    </xf>
    <xf numFmtId="165" fontId="2" fillId="5" borderId="0" xfId="0" applyFont="1" applyFill="1" applyBorder="1" applyAlignment="1">
      <alignment horizontal="center" vertical="center"/>
    </xf>
    <xf numFmtId="165" fontId="43" fillId="18" borderId="0" xfId="0" applyFont="1" applyFill="1" applyBorder="1" applyAlignment="1">
      <alignment horizontal="center" vertical="center"/>
    </xf>
    <xf numFmtId="165" fontId="43" fillId="5" borderId="0" xfId="0" applyFont="1" applyFill="1" applyBorder="1" applyAlignment="1">
      <alignment vertical="center"/>
    </xf>
    <xf numFmtId="165" fontId="43" fillId="27" borderId="0" xfId="0" applyFont="1" applyFill="1" applyBorder="1" applyAlignment="1">
      <alignment horizontal="center" vertical="center"/>
    </xf>
    <xf numFmtId="165" fontId="43" fillId="9" borderId="0" xfId="0" applyFont="1" applyFill="1" applyBorder="1" applyAlignment="1">
      <alignment horizontal="center" vertical="center"/>
    </xf>
    <xf numFmtId="3" fontId="84" fillId="5" borderId="21" xfId="0" applyNumberFormat="1" applyFont="1" applyFill="1" applyBorder="1" applyAlignment="1">
      <alignment horizontal="center" vertical="center"/>
    </xf>
    <xf numFmtId="3" fontId="83" fillId="5" borderId="21" xfId="0" applyNumberFormat="1" applyFont="1" applyFill="1" applyBorder="1" applyAlignment="1">
      <alignment horizontal="center" vertical="center"/>
    </xf>
    <xf numFmtId="165" fontId="32" fillId="5" borderId="21" xfId="0" applyFont="1" applyFill="1" applyBorder="1" applyAlignment="1">
      <alignment horizontal="center" vertical="center" wrapText="1"/>
    </xf>
    <xf numFmtId="3" fontId="21" fillId="5" borderId="21" xfId="0" applyNumberFormat="1" applyFont="1" applyFill="1" applyBorder="1" applyAlignment="1">
      <alignment horizontal="center" vertical="center"/>
    </xf>
    <xf numFmtId="3" fontId="21" fillId="5" borderId="21" xfId="0" quotePrefix="1" applyNumberFormat="1" applyFont="1" applyFill="1" applyBorder="1" applyAlignment="1">
      <alignment horizontal="center" vertical="center"/>
    </xf>
    <xf numFmtId="168" fontId="21" fillId="5" borderId="21" xfId="0" applyNumberFormat="1" applyFont="1" applyFill="1" applyBorder="1" applyAlignment="1">
      <alignment horizontal="center" vertical="center"/>
    </xf>
    <xf numFmtId="165" fontId="0" fillId="5" borderId="21" xfId="0" applyFill="1" applyBorder="1" applyAlignment="1">
      <alignment horizontal="left" vertical="center"/>
    </xf>
    <xf numFmtId="165" fontId="0" fillId="5" borderId="21" xfId="0" applyFill="1" applyBorder="1" applyAlignment="1">
      <alignment vertical="center"/>
    </xf>
    <xf numFmtId="165" fontId="27" fillId="5" borderId="30" xfId="0" applyFont="1" applyFill="1" applyBorder="1" applyAlignment="1">
      <alignment horizontal="center" wrapText="1"/>
    </xf>
    <xf numFmtId="165" fontId="28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wrapText="1"/>
    </xf>
    <xf numFmtId="3" fontId="83" fillId="5" borderId="0" xfId="0" applyNumberFormat="1" applyFont="1" applyFill="1" applyBorder="1" applyAlignment="1">
      <alignment horizontal="left" vertical="center"/>
    </xf>
    <xf numFmtId="3" fontId="83" fillId="5" borderId="21" xfId="0" applyNumberFormat="1" applyFont="1" applyFill="1" applyBorder="1" applyAlignment="1">
      <alignment horizontal="left" vertical="center"/>
    </xf>
    <xf numFmtId="3" fontId="84" fillId="5" borderId="22" xfId="0" applyNumberFormat="1" applyFont="1" applyFill="1" applyBorder="1" applyAlignment="1">
      <alignment horizontal="center" vertical="center"/>
    </xf>
    <xf numFmtId="3" fontId="83" fillId="5" borderId="22" xfId="0" applyNumberFormat="1" applyFont="1" applyFill="1" applyBorder="1" applyAlignment="1">
      <alignment horizontal="center" vertical="center"/>
    </xf>
    <xf numFmtId="3" fontId="83" fillId="5" borderId="22" xfId="0" applyNumberFormat="1" applyFont="1" applyFill="1" applyBorder="1" applyAlignment="1">
      <alignment horizontal="left" vertical="center"/>
    </xf>
    <xf numFmtId="165" fontId="32" fillId="5" borderId="22" xfId="0" applyFont="1" applyFill="1" applyBorder="1" applyAlignment="1">
      <alignment vertical="center" wrapText="1"/>
    </xf>
    <xf numFmtId="165" fontId="32" fillId="5" borderId="22" xfId="0" applyFont="1" applyFill="1" applyBorder="1" applyAlignment="1">
      <alignment horizontal="center" vertical="center" wrapText="1"/>
    </xf>
    <xf numFmtId="3" fontId="21" fillId="5" borderId="22" xfId="0" applyNumberFormat="1" applyFont="1" applyFill="1" applyBorder="1" applyAlignment="1">
      <alignment horizontal="center" vertical="center"/>
    </xf>
    <xf numFmtId="3" fontId="21" fillId="5" borderId="22" xfId="0" quotePrefix="1" applyNumberFormat="1" applyFont="1" applyFill="1" applyBorder="1" applyAlignment="1">
      <alignment horizontal="center" vertical="center"/>
    </xf>
    <xf numFmtId="168" fontId="21" fillId="5" borderId="22" xfId="0" applyNumberFormat="1" applyFont="1" applyFill="1" applyBorder="1" applyAlignment="1">
      <alignment horizontal="center" vertical="center"/>
    </xf>
    <xf numFmtId="165" fontId="0" fillId="5" borderId="22" xfId="0" applyFill="1" applyBorder="1"/>
    <xf numFmtId="165" fontId="0" fillId="5" borderId="21" xfId="0" applyFill="1" applyBorder="1"/>
    <xf numFmtId="165" fontId="0" fillId="29" borderId="0" xfId="0" applyFill="1" applyBorder="1"/>
    <xf numFmtId="165" fontId="13" fillId="29" borderId="30" xfId="0" applyFont="1" applyFill="1" applyBorder="1" applyAlignment="1">
      <alignment vertical="center" wrapText="1"/>
    </xf>
    <xf numFmtId="165" fontId="0" fillId="19" borderId="0" xfId="0" applyFill="1" applyBorder="1"/>
    <xf numFmtId="165" fontId="13" fillId="19" borderId="30" xfId="0" applyFont="1" applyFill="1" applyBorder="1" applyAlignment="1">
      <alignment vertical="center" wrapText="1"/>
    </xf>
    <xf numFmtId="165" fontId="32" fillId="29" borderId="21" xfId="0" applyFont="1" applyFill="1" applyBorder="1" applyAlignment="1">
      <alignment horizontal="center" vertical="center" wrapText="1"/>
    </xf>
    <xf numFmtId="165" fontId="32" fillId="29" borderId="22" xfId="0" applyFont="1" applyFill="1" applyBorder="1" applyAlignment="1">
      <alignment vertical="center" wrapText="1"/>
    </xf>
    <xf numFmtId="165" fontId="0" fillId="8" borderId="0" xfId="0" applyFill="1" applyBorder="1"/>
    <xf numFmtId="165" fontId="13" fillId="8" borderId="30" xfId="0" applyFont="1" applyFill="1" applyBorder="1" applyAlignment="1">
      <alignment vertical="center" wrapText="1"/>
    </xf>
    <xf numFmtId="165" fontId="32" fillId="8" borderId="0" xfId="0" applyFont="1" applyFill="1" applyBorder="1" applyAlignment="1">
      <alignment vertical="center" wrapText="1"/>
    </xf>
    <xf numFmtId="165" fontId="32" fillId="8" borderId="21" xfId="0" applyFont="1" applyFill="1" applyBorder="1" applyAlignment="1">
      <alignment horizontal="center" vertical="center" wrapText="1"/>
    </xf>
    <xf numFmtId="165" fontId="32" fillId="8" borderId="22" xfId="0" applyFont="1" applyFill="1" applyBorder="1" applyAlignment="1">
      <alignment vertical="center" wrapText="1"/>
    </xf>
    <xf numFmtId="165" fontId="85" fillId="5" borderId="0" xfId="0" applyFont="1" applyFill="1" applyBorder="1" applyAlignment="1">
      <alignment horizontal="center" vertical="center"/>
    </xf>
    <xf numFmtId="165" fontId="85" fillId="5" borderId="21" xfId="0" applyFont="1" applyFill="1" applyBorder="1" applyAlignment="1">
      <alignment horizontal="center" vertical="center"/>
    </xf>
    <xf numFmtId="3" fontId="84" fillId="5" borderId="26" xfId="0" applyNumberFormat="1" applyFont="1" applyFill="1" applyBorder="1" applyAlignment="1">
      <alignment horizontal="center" vertical="center"/>
    </xf>
    <xf numFmtId="3" fontId="83" fillId="5" borderId="26" xfId="0" applyNumberFormat="1" applyFont="1" applyFill="1" applyBorder="1" applyAlignment="1">
      <alignment horizontal="center" vertical="center"/>
    </xf>
    <xf numFmtId="3" fontId="83" fillId="5" borderId="26" xfId="0" applyNumberFormat="1" applyFont="1" applyFill="1" applyBorder="1" applyAlignment="1">
      <alignment horizontal="left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11" fillId="5" borderId="0" xfId="0" applyFont="1" applyFill="1" applyBorder="1" applyAlignment="1">
      <alignment horizontal="right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14" fillId="5" borderId="37" xfId="0" applyFont="1" applyFill="1" applyBorder="1"/>
    <xf numFmtId="165" fontId="14" fillId="5" borderId="38" xfId="0" applyFont="1" applyFill="1" applyBorder="1" applyAlignment="1">
      <alignment horizontal="center"/>
    </xf>
    <xf numFmtId="2" fontId="14" fillId="5" borderId="39" xfId="0" applyNumberFormat="1" applyFont="1" applyFill="1" applyBorder="1" applyAlignment="1">
      <alignment horizontal="center"/>
    </xf>
    <xf numFmtId="165" fontId="49" fillId="5" borderId="40" xfId="0" applyFont="1" applyFill="1" applyBorder="1"/>
    <xf numFmtId="3" fontId="51" fillId="5" borderId="10" xfId="0" applyNumberFormat="1" applyFont="1" applyFill="1" applyBorder="1" applyAlignment="1">
      <alignment horizontal="center"/>
    </xf>
    <xf numFmtId="1" fontId="51" fillId="5" borderId="41" xfId="0" applyNumberFormat="1" applyFont="1" applyFill="1" applyBorder="1"/>
    <xf numFmtId="168" fontId="0" fillId="5" borderId="0" xfId="0" applyNumberFormat="1" applyFill="1" applyBorder="1" applyAlignment="1">
      <alignment horizontal="center"/>
    </xf>
    <xf numFmtId="3" fontId="51" fillId="5" borderId="48" xfId="0" applyNumberFormat="1" applyFont="1" applyFill="1" applyBorder="1"/>
    <xf numFmtId="168" fontId="51" fillId="5" borderId="48" xfId="0" applyNumberFormat="1" applyFont="1" applyFill="1" applyBorder="1"/>
    <xf numFmtId="165" fontId="54" fillId="4" borderId="0" xfId="0" applyFont="1" applyFill="1" applyBorder="1" applyAlignment="1">
      <alignment horizontal="center"/>
    </xf>
    <xf numFmtId="165" fontId="11" fillId="4" borderId="0" xfId="0" applyFont="1" applyFill="1" applyBorder="1" applyAlignment="1"/>
    <xf numFmtId="165" fontId="11" fillId="5" borderId="0" xfId="0" applyFont="1" applyFill="1" applyBorder="1" applyAlignment="1"/>
    <xf numFmtId="165" fontId="0" fillId="4" borderId="0" xfId="0" quotePrefix="1" applyFill="1" applyBorder="1" applyAlignment="1">
      <alignment horizontal="left"/>
    </xf>
    <xf numFmtId="165" fontId="0" fillId="4" borderId="0" xfId="0" applyFill="1" applyBorder="1" applyAlignment="1">
      <alignment horizontal="left"/>
    </xf>
    <xf numFmtId="165" fontId="0" fillId="5" borderId="0" xfId="0" applyFill="1" applyAlignment="1">
      <alignment vertical="center"/>
    </xf>
    <xf numFmtId="165" fontId="2" fillId="5" borderId="0" xfId="0" applyFont="1" applyFill="1" applyAlignment="1">
      <alignment vertical="center"/>
    </xf>
    <xf numFmtId="165" fontId="0" fillId="0" borderId="0" xfId="0" applyAlignment="1">
      <alignment vertical="center"/>
    </xf>
    <xf numFmtId="165" fontId="0" fillId="4" borderId="0" xfId="0" applyFill="1" applyBorder="1" applyAlignment="1">
      <alignment horizontal="left" vertical="center"/>
    </xf>
    <xf numFmtId="165" fontId="0" fillId="4" borderId="0" xfId="0" quotePrefix="1" applyFill="1" applyBorder="1" applyAlignment="1">
      <alignment horizontal="left" vertical="center"/>
    </xf>
    <xf numFmtId="165" fontId="0" fillId="4" borderId="0" xfId="0" quotePrefix="1" applyFill="1" applyBorder="1" applyAlignment="1">
      <alignment vertical="center"/>
    </xf>
    <xf numFmtId="165" fontId="2" fillId="4" borderId="0" xfId="0" applyFont="1" applyFill="1" applyBorder="1" applyAlignment="1">
      <alignment vertical="center"/>
    </xf>
    <xf numFmtId="3" fontId="14" fillId="10" borderId="32" xfId="0" applyNumberFormat="1" applyFont="1" applyFill="1" applyBorder="1" applyAlignment="1">
      <alignment horizontal="center"/>
    </xf>
    <xf numFmtId="165" fontId="0" fillId="5" borderId="0" xfId="0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4" fontId="7" fillId="5" borderId="31" xfId="0" quotePrefix="1" applyNumberFormat="1" applyFont="1" applyFill="1" applyBorder="1" applyAlignment="1">
      <alignment horizontal="left" vertical="center" wrapText="1" readingOrder="1"/>
    </xf>
    <xf numFmtId="165" fontId="1" fillId="14" borderId="25" xfId="0" applyFont="1" applyFill="1" applyBorder="1" applyAlignment="1">
      <alignment horizontal="center"/>
    </xf>
    <xf numFmtId="165" fontId="1" fillId="14" borderId="27" xfId="0" applyFont="1" applyFill="1" applyBorder="1" applyAlignment="1">
      <alignment horizontal="center"/>
    </xf>
    <xf numFmtId="4" fontId="51" fillId="5" borderId="0" xfId="0" applyNumberFormat="1" applyFont="1" applyFill="1" applyBorder="1" applyAlignment="1">
      <alignment horizontal="center"/>
    </xf>
    <xf numFmtId="165" fontId="48" fillId="5" borderId="10" xfId="0" applyFont="1" applyFill="1" applyBorder="1" applyAlignment="1"/>
    <xf numFmtId="4" fontId="51" fillId="5" borderId="10" xfId="0" applyNumberFormat="1" applyFont="1" applyFill="1" applyBorder="1" applyAlignment="1">
      <alignment horizontal="center"/>
    </xf>
    <xf numFmtId="165" fontId="14" fillId="5" borderId="10" xfId="0" applyFont="1" applyFill="1" applyBorder="1" applyAlignment="1"/>
    <xf numFmtId="165" fontId="0" fillId="5" borderId="10" xfId="0" applyFont="1" applyFill="1" applyBorder="1" applyAlignment="1"/>
    <xf numFmtId="168" fontId="44" fillId="5" borderId="10" xfId="0" applyNumberFormat="1" applyFont="1" applyFill="1" applyBorder="1" applyAlignment="1">
      <alignment horizontal="center"/>
    </xf>
    <xf numFmtId="168" fontId="44" fillId="5" borderId="0" xfId="0" applyNumberFormat="1" applyFont="1" applyFill="1" applyBorder="1" applyAlignment="1">
      <alignment horizontal="center"/>
    </xf>
    <xf numFmtId="165" fontId="1" fillId="5" borderId="26" xfId="0" applyFont="1" applyFill="1" applyBorder="1" applyAlignment="1">
      <alignment horizontal="left"/>
    </xf>
    <xf numFmtId="165" fontId="14" fillId="14" borderId="37" xfId="0" applyFont="1" applyFill="1" applyBorder="1"/>
    <xf numFmtId="165" fontId="14" fillId="14" borderId="38" xfId="0" applyFont="1" applyFill="1" applyBorder="1" applyAlignment="1">
      <alignment horizontal="center"/>
    </xf>
    <xf numFmtId="2" fontId="14" fillId="14" borderId="39" xfId="0" applyNumberFormat="1" applyFont="1" applyFill="1" applyBorder="1" applyAlignment="1">
      <alignment horizontal="center"/>
    </xf>
    <xf numFmtId="1" fontId="60" fillId="5" borderId="10" xfId="0" applyNumberFormat="1" applyFont="1" applyFill="1" applyBorder="1" applyAlignment="1">
      <alignment horizontal="center" vertical="top" wrapText="1"/>
    </xf>
    <xf numFmtId="167" fontId="59" fillId="5" borderId="10" xfId="0" applyNumberFormat="1" applyFont="1" applyFill="1" applyBorder="1" applyAlignment="1">
      <alignment horizontal="center" vertical="top" wrapText="1"/>
    </xf>
    <xf numFmtId="3" fontId="44" fillId="5" borderId="0" xfId="0" applyNumberFormat="1" applyFont="1" applyFill="1" applyBorder="1" applyAlignment="1">
      <alignment horizontal="center"/>
    </xf>
    <xf numFmtId="168" fontId="51" fillId="5" borderId="0" xfId="0" applyNumberFormat="1" applyFont="1" applyFill="1" applyBorder="1"/>
    <xf numFmtId="9" fontId="51" fillId="5" borderId="48" xfId="2" applyFont="1" applyFill="1" applyBorder="1"/>
    <xf numFmtId="165" fontId="0" fillId="5" borderId="0" xfId="0" applyFill="1" applyBorder="1" applyAlignment="1">
      <alignment horizont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3" fontId="14" fillId="7" borderId="32" xfId="0" applyNumberFormat="1" applyFont="1" applyFill="1" applyBorder="1" applyAlignment="1">
      <alignment horizont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87" fillId="10" borderId="15" xfId="0" applyFont="1" applyFill="1" applyBorder="1" applyAlignment="1">
      <alignment horizontal="center" vertical="center" wrapText="1"/>
    </xf>
    <xf numFmtId="1" fontId="88" fillId="10" borderId="10" xfId="0" applyNumberFormat="1" applyFont="1" applyFill="1" applyBorder="1" applyAlignment="1">
      <alignment horizontal="center" vertical="center"/>
    </xf>
    <xf numFmtId="1" fontId="88" fillId="11" borderId="10" xfId="0" applyNumberFormat="1" applyFont="1" applyFill="1" applyBorder="1" applyAlignment="1">
      <alignment horizontal="center" vertical="center"/>
    </xf>
    <xf numFmtId="1" fontId="16" fillId="11" borderId="10" xfId="0" applyNumberFormat="1" applyFont="1" applyFill="1" applyBorder="1" applyAlignment="1">
      <alignment horizontal="center"/>
    </xf>
    <xf numFmtId="3" fontId="14" fillId="18" borderId="10" xfId="0" applyNumberFormat="1" applyFont="1" applyFill="1" applyBorder="1" applyAlignment="1">
      <alignment horizontal="center"/>
    </xf>
    <xf numFmtId="168" fontId="14" fillId="18" borderId="32" xfId="0" applyNumberFormat="1" applyFont="1" applyFill="1" applyBorder="1" applyAlignment="1">
      <alignment horizontal="center"/>
    </xf>
    <xf numFmtId="1" fontId="42" fillId="10" borderId="13" xfId="0" applyNumberFormat="1" applyFont="1" applyFill="1" applyBorder="1" applyAlignment="1">
      <alignment horizontal="center"/>
    </xf>
    <xf numFmtId="1" fontId="16" fillId="10" borderId="51" xfId="0" applyNumberFormat="1" applyFont="1" applyFill="1" applyBorder="1" applyAlignment="1">
      <alignment horizontal="center"/>
    </xf>
    <xf numFmtId="169" fontId="14" fillId="29" borderId="32" xfId="0" applyNumberFormat="1" applyFont="1" applyFill="1" applyBorder="1" applyAlignment="1">
      <alignment horizontal="center"/>
    </xf>
    <xf numFmtId="1" fontId="16" fillId="11" borderId="13" xfId="0" applyNumberFormat="1" applyFont="1" applyFill="1" applyBorder="1" applyAlignment="1">
      <alignment horizontal="center"/>
    </xf>
    <xf numFmtId="1" fontId="40" fillId="10" borderId="10" xfId="0" applyNumberFormat="1" applyFont="1" applyFill="1" applyBorder="1" applyAlignment="1">
      <alignment horizontal="center"/>
    </xf>
    <xf numFmtId="165" fontId="0" fillId="4" borderId="0" xfId="0" applyFill="1" applyBorder="1"/>
    <xf numFmtId="3" fontId="14" fillId="29" borderId="32" xfId="0" applyNumberFormat="1" applyFont="1" applyFill="1" applyBorder="1" applyAlignment="1">
      <alignment horizontal="center"/>
    </xf>
    <xf numFmtId="165" fontId="61" fillId="22" borderId="68" xfId="1" applyFill="1" applyBorder="1" applyAlignment="1">
      <alignment horizontal="center" vertical="center" textRotation="90" wrapText="1"/>
    </xf>
    <xf numFmtId="165" fontId="74" fillId="5" borderId="0" xfId="0" applyFont="1" applyFill="1" applyBorder="1" applyAlignment="1">
      <alignment horizontal="center" vertical="center" textRotation="90" wrapText="1"/>
    </xf>
    <xf numFmtId="165" fontId="74" fillId="5" borderId="0" xfId="0" applyFont="1" applyFill="1" applyBorder="1" applyAlignment="1">
      <alignment horizontal="center" vertical="center" textRotation="90"/>
    </xf>
    <xf numFmtId="165" fontId="58" fillId="5" borderId="0" xfId="0" applyFont="1" applyFill="1" applyBorder="1" applyAlignment="1">
      <alignment horizontal="center" vertical="center" textRotation="90"/>
    </xf>
    <xf numFmtId="165" fontId="77" fillId="22" borderId="68" xfId="1" applyFont="1" applyFill="1" applyBorder="1" applyAlignment="1">
      <alignment horizontal="center" vertical="center" textRotation="90" wrapText="1"/>
    </xf>
    <xf numFmtId="165" fontId="61" fillId="26" borderId="68" xfId="1" applyFill="1" applyBorder="1" applyAlignment="1">
      <alignment horizontal="center" vertical="center" textRotation="90"/>
    </xf>
    <xf numFmtId="165" fontId="0" fillId="0" borderId="0" xfId="0" applyAlignment="1">
      <alignment horizontal="center"/>
    </xf>
    <xf numFmtId="165" fontId="61" fillId="17" borderId="0" xfId="1" applyFill="1" applyAlignment="1">
      <alignment horizontal="center" textRotation="90"/>
    </xf>
    <xf numFmtId="165" fontId="61" fillId="17" borderId="68" xfId="1" applyFill="1" applyBorder="1" applyAlignment="1">
      <alignment horizontal="center" textRotation="90"/>
    </xf>
    <xf numFmtId="165" fontId="61" fillId="22" borderId="68" xfId="1" applyFill="1" applyBorder="1" applyAlignment="1">
      <alignment horizontal="center" vertical="center" textRotation="90"/>
    </xf>
    <xf numFmtId="165" fontId="16" fillId="5" borderId="22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1" fillId="5" borderId="0" xfId="0" applyFont="1" applyFill="1" applyBorder="1" applyAlignment="1">
      <alignment horizontal="center" wrapText="1"/>
    </xf>
    <xf numFmtId="165" fontId="16" fillId="5" borderId="0" xfId="0" applyFont="1" applyFill="1" applyBorder="1" applyAlignment="1">
      <alignment horizontal="center" vertic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165" fontId="0" fillId="0" borderId="0" xfId="0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3" fontId="20" fillId="5" borderId="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65" fontId="83" fillId="19" borderId="26" xfId="0" applyNumberFormat="1" applyFont="1" applyFill="1" applyBorder="1" applyAlignment="1">
      <alignment vertical="center"/>
    </xf>
    <xf numFmtId="165" fontId="83" fillId="19" borderId="21" xfId="0" applyNumberFormat="1" applyFont="1" applyFill="1" applyBorder="1" applyAlignment="1">
      <alignment vertical="center"/>
    </xf>
    <xf numFmtId="165" fontId="83" fillId="8" borderId="26" xfId="0" applyNumberFormat="1" applyFont="1" applyFill="1" applyBorder="1" applyAlignment="1">
      <alignment vertical="center"/>
    </xf>
    <xf numFmtId="165" fontId="83" fillId="8" borderId="21" xfId="0" applyNumberFormat="1" applyFont="1" applyFill="1" applyBorder="1" applyAlignment="1">
      <alignment vertical="center"/>
    </xf>
    <xf numFmtId="165" fontId="83" fillId="29" borderId="26" xfId="0" applyNumberFormat="1" applyFont="1" applyFill="1" applyBorder="1" applyAlignment="1">
      <alignment vertical="center"/>
    </xf>
    <xf numFmtId="165" fontId="83" fillId="29" borderId="21" xfId="0" applyNumberFormat="1" applyFont="1" applyFill="1" applyBorder="1" applyAlignment="1">
      <alignment vertical="center"/>
    </xf>
    <xf numFmtId="165" fontId="40" fillId="5" borderId="0" xfId="0" applyFont="1" applyFill="1" applyBorder="1" applyAlignment="1">
      <alignment horizontal="center" textRotation="90" wrapText="1"/>
    </xf>
    <xf numFmtId="165" fontId="40" fillId="5" borderId="30" xfId="0" applyFont="1" applyFill="1" applyBorder="1" applyAlignment="1">
      <alignment horizontal="center" textRotation="90" wrapText="1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0" xfId="0" applyFont="1" applyFill="1" applyBorder="1" applyAlignment="1">
      <alignment horizontal="center" wrapText="1"/>
    </xf>
    <xf numFmtId="165" fontId="20" fillId="5" borderId="30" xfId="0" applyFont="1" applyFill="1" applyBorder="1" applyAlignment="1">
      <alignment horizontal="center" wrapText="1"/>
    </xf>
    <xf numFmtId="165" fontId="0" fillId="5" borderId="0" xfId="0" applyFill="1" applyBorder="1" applyAlignment="1">
      <alignment horizontal="right"/>
    </xf>
    <xf numFmtId="165" fontId="28" fillId="5" borderId="0" xfId="0" applyFont="1" applyFill="1" applyBorder="1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center" wrapText="1"/>
    </xf>
    <xf numFmtId="3" fontId="83" fillId="5" borderId="26" xfId="0" applyNumberFormat="1" applyFont="1" applyFill="1" applyBorder="1" applyAlignment="1">
      <alignment horizontal="right" vertical="center"/>
    </xf>
    <xf numFmtId="3" fontId="83" fillId="5" borderId="21" xfId="0" applyNumberFormat="1" applyFont="1" applyFill="1" applyBorder="1" applyAlignment="1">
      <alignment horizontal="right" vertical="center"/>
    </xf>
    <xf numFmtId="165" fontId="43" fillId="5" borderId="0" xfId="0" applyFont="1" applyFill="1" applyBorder="1" applyAlignment="1">
      <alignment horizontal="center" vertical="center"/>
    </xf>
    <xf numFmtId="165" fontId="16" fillId="10" borderId="0" xfId="0" applyFont="1" applyFill="1" applyBorder="1" applyAlignment="1">
      <alignment horizontal="center" vertical="center" wrapText="1"/>
    </xf>
    <xf numFmtId="165" fontId="16" fillId="29" borderId="26" xfId="0" applyNumberFormat="1" applyFont="1" applyFill="1" applyBorder="1" applyAlignment="1">
      <alignment horizontal="center" vertical="center"/>
    </xf>
    <xf numFmtId="165" fontId="16" fillId="8" borderId="26" xfId="0" applyNumberFormat="1" applyFont="1" applyFill="1" applyBorder="1" applyAlignment="1">
      <alignment horizontal="center" vertical="center"/>
    </xf>
    <xf numFmtId="165" fontId="16" fillId="5" borderId="0" xfId="0" applyNumberFormat="1" applyFont="1" applyFill="1" applyBorder="1" applyAlignment="1">
      <alignment horizontal="center" vertical="center"/>
    </xf>
    <xf numFmtId="165" fontId="16" fillId="29" borderId="21" xfId="0" applyNumberFormat="1" applyFont="1" applyFill="1" applyBorder="1" applyAlignment="1">
      <alignment horizontal="center" vertical="center"/>
    </xf>
    <xf numFmtId="165" fontId="16" fillId="8" borderId="21" xfId="0" applyNumberFormat="1" applyFont="1" applyFill="1" applyBorder="1" applyAlignment="1">
      <alignment horizontal="center" vertical="center"/>
    </xf>
    <xf numFmtId="165" fontId="16" fillId="5" borderId="21" xfId="0" applyNumberFormat="1" applyFont="1" applyFill="1" applyBorder="1" applyAlignment="1">
      <alignment horizontal="center" vertical="center"/>
    </xf>
    <xf numFmtId="3" fontId="83" fillId="5" borderId="21" xfId="0" applyNumberFormat="1" applyFont="1" applyFill="1" applyBorder="1" applyAlignment="1">
      <alignment horizontal="right" vertical="center" indent="1"/>
    </xf>
    <xf numFmtId="3" fontId="83" fillId="7" borderId="26" xfId="0" applyNumberFormat="1" applyFont="1" applyFill="1" applyBorder="1" applyAlignment="1">
      <alignment horizontal="right" vertical="center" indent="1"/>
    </xf>
    <xf numFmtId="3" fontId="83" fillId="7" borderId="26" xfId="0" applyNumberFormat="1" applyFont="1" applyFill="1" applyBorder="1" applyAlignment="1">
      <alignment horizontal="right" vertical="center"/>
    </xf>
    <xf numFmtId="3" fontId="83" fillId="7" borderId="26" xfId="0" applyNumberFormat="1" applyFont="1" applyFill="1" applyBorder="1" applyAlignment="1">
      <alignment horizontal="left" vertical="center"/>
    </xf>
    <xf numFmtId="3" fontId="83" fillId="7" borderId="0" xfId="0" applyNumberFormat="1" applyFont="1" applyFill="1" applyBorder="1" applyAlignment="1">
      <alignment horizontal="left" vertical="center"/>
    </xf>
    <xf numFmtId="3" fontId="83" fillId="7" borderId="22" xfId="0" applyNumberFormat="1" applyFont="1" applyFill="1" applyBorder="1" applyAlignment="1">
      <alignment horizontal="left" vertical="center"/>
    </xf>
    <xf numFmtId="3" fontId="93" fillId="7" borderId="26" xfId="0" applyNumberFormat="1" applyFont="1" applyFill="1" applyBorder="1" applyAlignment="1">
      <alignment horizontal="right" vertical="center"/>
    </xf>
    <xf numFmtId="3" fontId="93" fillId="7" borderId="26" xfId="0" applyNumberFormat="1" applyFont="1" applyFill="1" applyBorder="1" applyAlignment="1">
      <alignment horizontal="right" vertical="center" indent="1"/>
    </xf>
    <xf numFmtId="3" fontId="93" fillId="7" borderId="22" xfId="0" applyNumberFormat="1" applyFont="1" applyFill="1" applyBorder="1" applyAlignment="1">
      <alignment horizontal="left" vertical="center"/>
    </xf>
    <xf numFmtId="3" fontId="93" fillId="5" borderId="21" xfId="0" applyNumberFormat="1" applyFont="1" applyFill="1" applyBorder="1" applyAlignment="1">
      <alignment horizontal="right" vertical="center"/>
    </xf>
    <xf numFmtId="3" fontId="93" fillId="5" borderId="21" xfId="0" applyNumberFormat="1" applyFont="1" applyFill="1" applyBorder="1" applyAlignment="1">
      <alignment horizontal="left" vertical="center"/>
    </xf>
    <xf numFmtId="3" fontId="93" fillId="5" borderId="21" xfId="0" applyNumberFormat="1" applyFont="1" applyFill="1" applyBorder="1" applyAlignment="1">
      <alignment horizontal="right" vertical="center" indent="1"/>
    </xf>
    <xf numFmtId="165" fontId="35" fillId="5" borderId="0" xfId="0" applyFont="1" applyFill="1" applyBorder="1" applyAlignment="1">
      <alignment vertical="center"/>
    </xf>
    <xf numFmtId="165" fontId="33" fillId="5" borderId="0" xfId="0" applyFont="1" applyFill="1" applyBorder="1" applyAlignment="1">
      <alignment horizontal="left" vertical="center"/>
    </xf>
    <xf numFmtId="165" fontId="94" fillId="5" borderId="0" xfId="0" applyFont="1" applyFill="1" applyBorder="1" applyAlignment="1">
      <alignment horizontal="center" wrapText="1"/>
    </xf>
    <xf numFmtId="165" fontId="36" fillId="8" borderId="0" xfId="0" applyFont="1" applyFill="1" applyBorder="1" applyAlignment="1">
      <alignment horizontal="left" vertical="center"/>
    </xf>
    <xf numFmtId="3" fontId="33" fillId="5" borderId="0" xfId="0" applyNumberFormat="1" applyFont="1" applyFill="1" applyBorder="1" applyAlignment="1">
      <alignment horizontal="center" vertical="center"/>
    </xf>
    <xf numFmtId="165" fontId="95" fillId="5" borderId="0" xfId="0" applyFont="1" applyFill="1" applyBorder="1" applyAlignment="1">
      <alignment horizontal="left" vertical="center"/>
    </xf>
    <xf numFmtId="165" fontId="36" fillId="8" borderId="71" xfId="0" applyFont="1" applyFill="1" applyBorder="1" applyAlignment="1">
      <alignment horizontal="left" vertical="center"/>
    </xf>
    <xf numFmtId="165" fontId="36" fillId="8" borderId="76" xfId="0" applyFont="1" applyFill="1" applyBorder="1" applyAlignment="1">
      <alignment horizontal="left" vertical="center"/>
    </xf>
    <xf numFmtId="165" fontId="20" fillId="5" borderId="30" xfId="0" applyFont="1" applyFill="1" applyBorder="1" applyAlignment="1">
      <alignment horizontal="center" wrapText="1"/>
    </xf>
    <xf numFmtId="3" fontId="93" fillId="32" borderId="26" xfId="0" applyNumberFormat="1" applyFont="1" applyFill="1" applyBorder="1" applyAlignment="1">
      <alignment horizontal="right" vertical="center"/>
    </xf>
    <xf numFmtId="3" fontId="93" fillId="32" borderId="26" xfId="0" applyNumberFormat="1" applyFont="1" applyFill="1" applyBorder="1" applyAlignment="1">
      <alignment horizontal="left" vertical="center"/>
    </xf>
    <xf numFmtId="165" fontId="96" fillId="32" borderId="0" xfId="0" applyFont="1" applyFill="1" applyBorder="1" applyAlignment="1">
      <alignment horizontal="left" vertical="center"/>
    </xf>
    <xf numFmtId="3" fontId="87" fillId="32" borderId="26" xfId="0" applyNumberFormat="1" applyFont="1" applyFill="1" applyBorder="1" applyAlignment="1">
      <alignment horizontal="right" vertical="center"/>
    </xf>
    <xf numFmtId="3" fontId="87" fillId="32" borderId="26" xfId="0" applyNumberFormat="1" applyFont="1" applyFill="1" applyBorder="1" applyAlignment="1">
      <alignment horizontal="left" vertical="center"/>
    </xf>
    <xf numFmtId="3" fontId="87" fillId="5" borderId="21" xfId="0" applyNumberFormat="1" applyFont="1" applyFill="1" applyBorder="1" applyAlignment="1">
      <alignment horizontal="right" vertical="center"/>
    </xf>
    <xf numFmtId="3" fontId="87" fillId="5" borderId="21" xfId="0" applyNumberFormat="1" applyFont="1" applyFill="1" applyBorder="1" applyAlignment="1">
      <alignment horizontal="left" vertical="center"/>
    </xf>
    <xf numFmtId="165" fontId="14" fillId="5" borderId="50" xfId="0" applyFont="1" applyFill="1" applyBorder="1" applyAlignment="1"/>
    <xf numFmtId="3" fontId="44" fillId="5" borderId="10" xfId="0" applyNumberFormat="1" applyFont="1" applyFill="1" applyBorder="1" applyAlignment="1">
      <alignment horizontal="center"/>
    </xf>
    <xf numFmtId="11" fontId="44" fillId="5" borderId="10" xfId="0" applyNumberFormat="1" applyFont="1" applyFill="1" applyBorder="1" applyAlignment="1">
      <alignment horizontal="center"/>
    </xf>
    <xf numFmtId="168" fontId="51" fillId="5" borderId="10" xfId="0" applyNumberFormat="1" applyFont="1" applyFill="1" applyBorder="1" applyAlignment="1">
      <alignment horizontal="center"/>
    </xf>
    <xf numFmtId="165" fontId="16" fillId="26" borderId="26" xfId="0" applyNumberFormat="1" applyFont="1" applyFill="1" applyBorder="1" applyAlignment="1">
      <alignment horizontal="center" vertical="center"/>
    </xf>
    <xf numFmtId="165" fontId="16" fillId="26" borderId="21" xfId="0" applyNumberFormat="1" applyFont="1" applyFill="1" applyBorder="1" applyAlignment="1">
      <alignment horizontal="center" vertical="center"/>
    </xf>
    <xf numFmtId="165" fontId="96" fillId="32" borderId="79" xfId="0" applyFont="1" applyFill="1" applyBorder="1" applyAlignment="1">
      <alignment horizontal="left" vertical="center"/>
    </xf>
    <xf numFmtId="165" fontId="96" fillId="32" borderId="84" xfId="0" applyFont="1" applyFill="1" applyBorder="1" applyAlignment="1">
      <alignment horizontal="left" vertical="center"/>
    </xf>
    <xf numFmtId="165" fontId="61" fillId="5" borderId="0" xfId="1" applyFill="1" applyBorder="1" applyAlignment="1">
      <alignment horizontal="center" vertical="center" textRotation="90"/>
    </xf>
    <xf numFmtId="165" fontId="61" fillId="5" borderId="0" xfId="1" applyFill="1" applyBorder="1" applyAlignment="1">
      <alignment horizontal="center" vertical="center" textRotation="90" wrapText="1"/>
    </xf>
    <xf numFmtId="165" fontId="61" fillId="19" borderId="86" xfId="1" applyFill="1" applyBorder="1" applyAlignment="1">
      <alignment horizontal="center" vertical="center" textRotation="90"/>
    </xf>
    <xf numFmtId="165" fontId="61" fillId="19" borderId="86" xfId="1" applyFill="1" applyBorder="1" applyAlignment="1">
      <alignment horizontal="center" vertical="center" textRotation="90" wrapText="1"/>
    </xf>
    <xf numFmtId="165" fontId="61" fillId="22" borderId="86" xfId="1" applyFill="1" applyBorder="1" applyAlignment="1">
      <alignment horizontal="center" vertical="center" textRotation="90" wrapText="1"/>
    </xf>
    <xf numFmtId="165" fontId="74" fillId="13" borderId="87" xfId="0" applyFont="1" applyFill="1" applyBorder="1" applyAlignment="1">
      <alignment horizontal="center" vertical="center"/>
    </xf>
    <xf numFmtId="165" fontId="74" fillId="13" borderId="88" xfId="0" applyFont="1" applyFill="1" applyBorder="1" applyAlignment="1">
      <alignment horizontal="center" vertical="center"/>
    </xf>
    <xf numFmtId="165" fontId="74" fillId="13" borderId="89" xfId="0" applyFont="1" applyFill="1" applyBorder="1" applyAlignment="1">
      <alignment horizontal="center" vertical="center"/>
    </xf>
    <xf numFmtId="165" fontId="74" fillId="13" borderId="33" xfId="0" applyFont="1" applyFill="1" applyBorder="1" applyAlignment="1">
      <alignment horizontal="center" vertical="center"/>
    </xf>
    <xf numFmtId="165" fontId="74" fillId="13" borderId="34" xfId="0" applyFont="1" applyFill="1" applyBorder="1" applyAlignment="1">
      <alignment horizontal="center" vertical="center"/>
    </xf>
    <xf numFmtId="165" fontId="74" fillId="13" borderId="35" xfId="0" applyFont="1" applyFill="1" applyBorder="1" applyAlignment="1">
      <alignment horizontal="center" vertical="center"/>
    </xf>
    <xf numFmtId="165" fontId="76" fillId="24" borderId="33" xfId="0" applyFont="1" applyFill="1" applyBorder="1" applyAlignment="1">
      <alignment horizontal="center"/>
    </xf>
    <xf numFmtId="165" fontId="76" fillId="24" borderId="34" xfId="0" applyFont="1" applyFill="1" applyBorder="1" applyAlignment="1">
      <alignment horizontal="center"/>
    </xf>
    <xf numFmtId="165" fontId="76" fillId="24" borderId="35" xfId="0" applyFont="1" applyFill="1" applyBorder="1" applyAlignment="1">
      <alignment horizontal="center"/>
    </xf>
    <xf numFmtId="165" fontId="74" fillId="21" borderId="33" xfId="0" applyFont="1" applyFill="1" applyBorder="1" applyAlignment="1">
      <alignment horizontal="center"/>
    </xf>
    <xf numFmtId="165" fontId="74" fillId="21" borderId="34" xfId="0" applyFont="1" applyFill="1" applyBorder="1" applyAlignment="1">
      <alignment horizontal="center"/>
    </xf>
    <xf numFmtId="165" fontId="74" fillId="21" borderId="35" xfId="0" applyFont="1" applyFill="1" applyBorder="1" applyAlignment="1">
      <alignment horizontal="center"/>
    </xf>
    <xf numFmtId="165" fontId="75" fillId="18" borderId="33" xfId="0" applyFont="1" applyFill="1" applyBorder="1" applyAlignment="1">
      <alignment horizontal="center"/>
    </xf>
    <xf numFmtId="165" fontId="75" fillId="18" borderId="34" xfId="0" applyFont="1" applyFill="1" applyBorder="1" applyAlignment="1">
      <alignment horizontal="center"/>
    </xf>
    <xf numFmtId="165" fontId="75" fillId="18" borderId="35" xfId="0" applyFont="1" applyFill="1" applyBorder="1" applyAlignment="1">
      <alignment horizontal="center"/>
    </xf>
    <xf numFmtId="3" fontId="1" fillId="5" borderId="26" xfId="0" applyNumberFormat="1" applyFont="1" applyFill="1" applyBorder="1" applyAlignment="1">
      <alignment horizontal="center" vertical="center"/>
    </xf>
    <xf numFmtId="3" fontId="1" fillId="5" borderId="21" xfId="0" applyNumberFormat="1" applyFont="1" applyFill="1" applyBorder="1" applyAlignment="1">
      <alignment horizontal="center" vertical="center"/>
    </xf>
    <xf numFmtId="165" fontId="16" fillId="5" borderId="26" xfId="0" applyFont="1" applyFill="1" applyBorder="1" applyAlignment="1">
      <alignment horizontal="left" vertical="center"/>
    </xf>
    <xf numFmtId="165" fontId="16" fillId="5" borderId="21" xfId="0" applyFont="1" applyFill="1" applyBorder="1" applyAlignment="1">
      <alignment horizontal="left" vertical="center"/>
    </xf>
    <xf numFmtId="170" fontId="0" fillId="5" borderId="0" xfId="0" applyNumberFormat="1" applyFont="1" applyFill="1" applyBorder="1" applyAlignment="1">
      <alignment horizontal="left"/>
    </xf>
    <xf numFmtId="165" fontId="4" fillId="30" borderId="0" xfId="0" applyFont="1" applyFill="1" applyBorder="1" applyAlignment="1">
      <alignment horizontal="center" vertical="center"/>
    </xf>
    <xf numFmtId="165" fontId="1" fillId="5" borderId="0" xfId="0" applyFont="1" applyFill="1" applyBorder="1" applyAlignment="1">
      <alignment horizontal="center" vertical="center" wrapText="1"/>
    </xf>
    <xf numFmtId="165" fontId="1" fillId="5" borderId="30" xfId="0" applyFont="1" applyFill="1" applyBorder="1" applyAlignment="1">
      <alignment horizontal="center" vertical="center" wrapText="1"/>
    </xf>
    <xf numFmtId="165" fontId="16" fillId="5" borderId="22" xfId="0" applyFont="1" applyFill="1" applyBorder="1" applyAlignment="1">
      <alignment horizontal="left" vertical="center"/>
    </xf>
    <xf numFmtId="165" fontId="16" fillId="26" borderId="22" xfId="0" applyNumberFormat="1" applyFont="1" applyFill="1" applyBorder="1" applyAlignment="1">
      <alignment horizontal="center" vertical="center"/>
    </xf>
    <xf numFmtId="165" fontId="16" fillId="26" borderId="21" xfId="0" applyNumberFormat="1" applyFont="1" applyFill="1" applyBorder="1" applyAlignment="1">
      <alignment horizontal="center" vertical="center"/>
    </xf>
    <xf numFmtId="3" fontId="1" fillId="5" borderId="0" xfId="0" applyNumberFormat="1" applyFont="1" applyFill="1" applyBorder="1" applyAlignment="1">
      <alignment horizontal="center" vertical="center"/>
    </xf>
    <xf numFmtId="165" fontId="16" fillId="5" borderId="0" xfId="0" applyFont="1" applyFill="1" applyBorder="1" applyAlignment="1">
      <alignment horizontal="left" vertical="center"/>
    </xf>
    <xf numFmtId="165" fontId="1" fillId="5" borderId="0" xfId="0" applyFont="1" applyFill="1" applyBorder="1" applyAlignment="1">
      <alignment horizontal="center" wrapText="1"/>
    </xf>
    <xf numFmtId="165" fontId="28" fillId="5" borderId="0" xfId="0" applyFont="1" applyFill="1" applyBorder="1" applyAlignment="1">
      <alignment horizontal="center"/>
    </xf>
    <xf numFmtId="3" fontId="96" fillId="32" borderId="0" xfId="0" applyNumberFormat="1" applyFont="1" applyFill="1" applyBorder="1" applyAlignment="1">
      <alignment horizontal="right" vertical="center"/>
    </xf>
    <xf numFmtId="3" fontId="96" fillId="32" borderId="84" xfId="0" applyNumberFormat="1" applyFont="1" applyFill="1" applyBorder="1" applyAlignment="1">
      <alignment horizontal="right" vertical="center"/>
    </xf>
    <xf numFmtId="165" fontId="32" fillId="5" borderId="26" xfId="0" applyFont="1" applyFill="1" applyBorder="1" applyAlignment="1">
      <alignment horizontal="center" vertical="center" wrapText="1"/>
    </xf>
    <xf numFmtId="165" fontId="32" fillId="5" borderId="21" xfId="0" applyFont="1" applyFill="1" applyBorder="1" applyAlignment="1">
      <alignment horizontal="center" vertical="center" wrapText="1"/>
    </xf>
    <xf numFmtId="3" fontId="23" fillId="8" borderId="71" xfId="0" applyNumberFormat="1" applyFont="1" applyFill="1" applyBorder="1" applyAlignment="1">
      <alignment horizontal="right" vertical="center" indent="1"/>
    </xf>
    <xf numFmtId="3" fontId="23" fillId="8" borderId="0" xfId="0" applyNumberFormat="1" applyFont="1" applyFill="1" applyBorder="1" applyAlignment="1">
      <alignment horizontal="right" vertical="center" indent="1"/>
    </xf>
    <xf numFmtId="3" fontId="32" fillId="5" borderId="0" xfId="0" applyNumberFormat="1" applyFont="1" applyFill="1" applyBorder="1" applyAlignment="1">
      <alignment horizontal="center" vertical="center"/>
    </xf>
    <xf numFmtId="3" fontId="32" fillId="5" borderId="21" xfId="0" applyNumberFormat="1" applyFont="1" applyFill="1" applyBorder="1" applyAlignment="1">
      <alignment horizontal="center" vertical="center"/>
    </xf>
    <xf numFmtId="165" fontId="32" fillId="5" borderId="22" xfId="0" applyFont="1" applyFill="1" applyBorder="1" applyAlignment="1">
      <alignment horizontal="center" vertical="center"/>
    </xf>
    <xf numFmtId="165" fontId="32" fillId="5" borderId="21" xfId="0" applyFont="1" applyFill="1" applyBorder="1" applyAlignment="1">
      <alignment horizontal="center" vertical="center"/>
    </xf>
    <xf numFmtId="3" fontId="32" fillId="5" borderId="26" xfId="0" applyNumberFormat="1" applyFont="1" applyFill="1" applyBorder="1" applyAlignment="1">
      <alignment horizontal="center" vertical="center"/>
    </xf>
    <xf numFmtId="165" fontId="32" fillId="5" borderId="0" xfId="0" applyFont="1" applyFill="1" applyBorder="1" applyAlignment="1">
      <alignment horizontal="center" vertical="center"/>
    </xf>
    <xf numFmtId="3" fontId="23" fillId="8" borderId="71" xfId="0" applyNumberFormat="1" applyFont="1" applyFill="1" applyBorder="1" applyAlignment="1">
      <alignment horizontal="right" vertical="center"/>
    </xf>
    <xf numFmtId="3" fontId="23" fillId="8" borderId="0" xfId="0" applyNumberFormat="1" applyFont="1" applyFill="1" applyBorder="1" applyAlignment="1">
      <alignment horizontal="right" vertical="center"/>
    </xf>
    <xf numFmtId="3" fontId="32" fillId="5" borderId="22" xfId="0" applyNumberFormat="1" applyFont="1" applyFill="1" applyBorder="1" applyAlignment="1">
      <alignment horizontal="center" vertical="center"/>
    </xf>
    <xf numFmtId="165" fontId="1" fillId="28" borderId="0" xfId="0" applyFont="1" applyFill="1" applyBorder="1" applyAlignment="1">
      <alignment horizontal="center"/>
    </xf>
    <xf numFmtId="165" fontId="40" fillId="5" borderId="0" xfId="0" applyFont="1" applyFill="1" applyBorder="1" applyAlignment="1">
      <alignment horizontal="center" textRotation="90" wrapText="1"/>
    </xf>
    <xf numFmtId="165" fontId="40" fillId="5" borderId="30" xfId="0" applyFont="1" applyFill="1" applyBorder="1" applyAlignment="1">
      <alignment horizontal="center" textRotation="90" wrapText="1"/>
    </xf>
    <xf numFmtId="165" fontId="32" fillId="5" borderId="22" xfId="0" applyNumberFormat="1" applyFont="1" applyFill="1" applyBorder="1" applyAlignment="1">
      <alignment horizontal="center" vertical="center" wrapText="1"/>
    </xf>
    <xf numFmtId="165" fontId="32" fillId="5" borderId="21" xfId="0" applyNumberFormat="1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 vertical="top" wrapText="1"/>
    </xf>
    <xf numFmtId="165" fontId="1" fillId="5" borderId="30" xfId="0" applyFont="1" applyFill="1" applyBorder="1" applyAlignment="1">
      <alignment horizontal="center" vertical="top"/>
    </xf>
    <xf numFmtId="165" fontId="97" fillId="5" borderId="0" xfId="0" applyFont="1" applyFill="1" applyBorder="1" applyAlignment="1">
      <alignment horizontal="center" vertical="center" wrapText="1"/>
    </xf>
    <xf numFmtId="165" fontId="97" fillId="5" borderId="30" xfId="0" applyFont="1" applyFill="1" applyBorder="1" applyAlignment="1">
      <alignment horizontal="center" vertical="center" wrapText="1"/>
    </xf>
    <xf numFmtId="165" fontId="92" fillId="5" borderId="0" xfId="0" applyFont="1" applyFill="1" applyBorder="1" applyAlignment="1">
      <alignment horizontal="center" vertical="center" wrapText="1"/>
    </xf>
    <xf numFmtId="165" fontId="92" fillId="5" borderId="30" xfId="0" applyFont="1" applyFill="1" applyBorder="1" applyAlignment="1">
      <alignment horizontal="center" vertical="center" wrapText="1"/>
    </xf>
    <xf numFmtId="165" fontId="32" fillId="5" borderId="0" xfId="0" applyNumberFormat="1" applyFont="1" applyFill="1" applyBorder="1" applyAlignment="1">
      <alignment horizontal="center" vertical="center"/>
    </xf>
    <xf numFmtId="165" fontId="32" fillId="5" borderId="21" xfId="0" applyNumberFormat="1" applyFont="1" applyFill="1" applyBorder="1" applyAlignment="1">
      <alignment horizontal="center" vertical="center"/>
    </xf>
    <xf numFmtId="165" fontId="32" fillId="5" borderId="22" xfId="0" applyNumberFormat="1" applyFont="1" applyFill="1" applyBorder="1" applyAlignment="1">
      <alignment horizontal="center" vertical="center"/>
    </xf>
    <xf numFmtId="165" fontId="16" fillId="26" borderId="26" xfId="0" applyNumberFormat="1" applyFont="1" applyFill="1" applyBorder="1" applyAlignment="1">
      <alignment horizontal="center" vertical="center"/>
    </xf>
    <xf numFmtId="165" fontId="16" fillId="29" borderId="26" xfId="0" applyNumberFormat="1" applyFont="1" applyFill="1" applyBorder="1" applyAlignment="1">
      <alignment horizontal="center" vertical="center"/>
    </xf>
    <xf numFmtId="165" fontId="16" fillId="29" borderId="21" xfId="0" applyNumberFormat="1" applyFont="1" applyFill="1" applyBorder="1" applyAlignment="1">
      <alignment horizontal="center" vertical="center"/>
    </xf>
    <xf numFmtId="165" fontId="96" fillId="32" borderId="78" xfId="0" applyFont="1" applyFill="1" applyBorder="1" applyAlignment="1">
      <alignment horizontal="right" vertical="center"/>
    </xf>
    <xf numFmtId="165" fontId="96" fillId="32" borderId="79" xfId="0" applyFont="1" applyFill="1" applyBorder="1" applyAlignment="1">
      <alignment horizontal="right" vertical="center"/>
    </xf>
    <xf numFmtId="165" fontId="96" fillId="32" borderId="81" xfId="0" applyFont="1" applyFill="1" applyBorder="1" applyAlignment="1">
      <alignment horizontal="right" vertical="center"/>
    </xf>
    <xf numFmtId="165" fontId="96" fillId="32" borderId="0" xfId="0" applyFont="1" applyFill="1" applyBorder="1" applyAlignment="1">
      <alignment horizontal="right" vertical="center"/>
    </xf>
    <xf numFmtId="165" fontId="96" fillId="32" borderId="83" xfId="0" applyFont="1" applyFill="1" applyBorder="1" applyAlignment="1">
      <alignment horizontal="right" vertical="center"/>
    </xf>
    <xf numFmtId="165" fontId="96" fillId="32" borderId="84" xfId="0" applyFont="1" applyFill="1" applyBorder="1" applyAlignment="1">
      <alignment horizontal="right" vertical="center"/>
    </xf>
    <xf numFmtId="165" fontId="4" fillId="31" borderId="0" xfId="0" applyFont="1" applyFill="1" applyBorder="1" applyAlignment="1">
      <alignment horizontal="center" vertical="center"/>
    </xf>
    <xf numFmtId="165" fontId="4" fillId="27" borderId="0" xfId="0" applyFont="1" applyFill="1" applyBorder="1" applyAlignment="1">
      <alignment horizontal="center" vertical="center"/>
    </xf>
    <xf numFmtId="165" fontId="4" fillId="9" borderId="0" xfId="0" applyFont="1" applyFill="1" applyBorder="1" applyAlignment="1">
      <alignment horizontal="center" vertical="center"/>
    </xf>
    <xf numFmtId="3" fontId="96" fillId="32" borderId="79" xfId="0" applyNumberFormat="1" applyFont="1" applyFill="1" applyBorder="1" applyAlignment="1">
      <alignment horizontal="right" vertical="center"/>
    </xf>
    <xf numFmtId="165" fontId="96" fillId="32" borderId="79" xfId="0" applyFont="1" applyFill="1" applyBorder="1" applyAlignment="1">
      <alignment horizontal="left" vertical="center"/>
    </xf>
    <xf numFmtId="165" fontId="96" fillId="32" borderId="80" xfId="0" applyFont="1" applyFill="1" applyBorder="1" applyAlignment="1">
      <alignment horizontal="left" vertical="center"/>
    </xf>
    <xf numFmtId="165" fontId="96" fillId="32" borderId="0" xfId="0" applyFont="1" applyFill="1" applyBorder="1" applyAlignment="1">
      <alignment horizontal="left" vertical="center"/>
    </xf>
    <xf numFmtId="165" fontId="96" fillId="32" borderId="82" xfId="0" applyFont="1" applyFill="1" applyBorder="1" applyAlignment="1">
      <alignment horizontal="left" vertical="center"/>
    </xf>
    <xf numFmtId="165" fontId="96" fillId="32" borderId="84" xfId="0" applyFont="1" applyFill="1" applyBorder="1" applyAlignment="1">
      <alignment horizontal="left" vertical="center"/>
    </xf>
    <xf numFmtId="165" fontId="96" fillId="32" borderId="85" xfId="0" applyFont="1" applyFill="1" applyBorder="1" applyAlignment="1">
      <alignment horizontal="left" vertical="center"/>
    </xf>
    <xf numFmtId="165" fontId="35" fillId="5" borderId="0" xfId="0" applyFont="1" applyFill="1" applyBorder="1" applyAlignment="1">
      <alignment horizontal="right" vertical="center"/>
    </xf>
    <xf numFmtId="3" fontId="23" fillId="8" borderId="76" xfId="0" applyNumberFormat="1" applyFont="1" applyFill="1" applyBorder="1" applyAlignment="1">
      <alignment horizontal="right" vertical="center" indent="1"/>
    </xf>
    <xf numFmtId="3" fontId="23" fillId="8" borderId="76" xfId="0" applyNumberFormat="1" applyFont="1" applyFill="1" applyBorder="1" applyAlignment="1">
      <alignment horizontal="right" vertical="center"/>
    </xf>
    <xf numFmtId="165" fontId="23" fillId="8" borderId="72" xfId="0" applyFont="1" applyFill="1" applyBorder="1" applyAlignment="1">
      <alignment horizontal="left" vertical="center"/>
    </xf>
    <xf numFmtId="165" fontId="23" fillId="8" borderId="74" xfId="0" applyFont="1" applyFill="1" applyBorder="1" applyAlignment="1">
      <alignment horizontal="left" vertical="center"/>
    </xf>
    <xf numFmtId="165" fontId="23" fillId="8" borderId="77" xfId="0" applyFont="1" applyFill="1" applyBorder="1" applyAlignment="1">
      <alignment horizontal="left" vertical="center"/>
    </xf>
    <xf numFmtId="165" fontId="23" fillId="8" borderId="70" xfId="0" applyFont="1" applyFill="1" applyBorder="1" applyAlignment="1">
      <alignment horizontal="center" vertical="center" wrapText="1"/>
    </xf>
    <xf numFmtId="165" fontId="23" fillId="8" borderId="71" xfId="0" applyFont="1" applyFill="1" applyBorder="1" applyAlignment="1">
      <alignment horizontal="center" vertical="center" wrapText="1"/>
    </xf>
    <xf numFmtId="165" fontId="23" fillId="8" borderId="73" xfId="0" applyFont="1" applyFill="1" applyBorder="1" applyAlignment="1">
      <alignment horizontal="center" vertical="center" wrapText="1"/>
    </xf>
    <xf numFmtId="165" fontId="23" fillId="8" borderId="0" xfId="0" applyFont="1" applyFill="1" applyBorder="1" applyAlignment="1">
      <alignment horizontal="center" vertical="center" wrapText="1"/>
    </xf>
    <xf numFmtId="165" fontId="23" fillId="8" borderId="75" xfId="0" applyFont="1" applyFill="1" applyBorder="1" applyAlignment="1">
      <alignment horizontal="center" vertical="center" wrapText="1"/>
    </xf>
    <xf numFmtId="165" fontId="23" fillId="8" borderId="76" xfId="0" applyFont="1" applyFill="1" applyBorder="1" applyAlignment="1">
      <alignment horizontal="center" vertical="center" wrapText="1"/>
    </xf>
    <xf numFmtId="165" fontId="83" fillId="5" borderId="22" xfId="0" applyNumberFormat="1" applyFont="1" applyFill="1" applyBorder="1" applyAlignment="1">
      <alignment horizontal="center" vertical="center"/>
    </xf>
    <xf numFmtId="165" fontId="83" fillId="5" borderId="21" xfId="0" applyNumberFormat="1" applyFont="1" applyFill="1" applyBorder="1" applyAlignment="1">
      <alignment horizontal="center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16" fillId="5" borderId="22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85" fillId="5" borderId="22" xfId="0" applyFont="1" applyFill="1" applyBorder="1" applyAlignment="1">
      <alignment horizontal="center" vertical="center"/>
    </xf>
    <xf numFmtId="165" fontId="85" fillId="5" borderId="21" xfId="0" applyFont="1" applyFill="1" applyBorder="1" applyAlignment="1">
      <alignment horizontal="center" vertical="center"/>
    </xf>
    <xf numFmtId="165" fontId="1" fillId="5" borderId="30" xfId="0" applyFont="1" applyFill="1" applyBorder="1" applyAlignment="1">
      <alignment horizontal="center" wrapText="1"/>
    </xf>
    <xf numFmtId="165" fontId="85" fillId="5" borderId="0" xfId="0" applyFont="1" applyFill="1" applyBorder="1" applyAlignment="1">
      <alignment horizontal="center" vertical="center"/>
    </xf>
    <xf numFmtId="165" fontId="16" fillId="5" borderId="0" xfId="0" applyFont="1" applyFill="1" applyBorder="1" applyAlignment="1">
      <alignment horizontal="center" vertical="center"/>
    </xf>
    <xf numFmtId="165" fontId="37" fillId="5" borderId="0" xfId="0" applyFont="1" applyFill="1" applyBorder="1" applyAlignment="1">
      <alignment horizontal="right" vertical="center"/>
    </xf>
    <xf numFmtId="165" fontId="83" fillId="19" borderId="22" xfId="0" applyNumberFormat="1" applyFont="1" applyFill="1" applyBorder="1" applyAlignment="1">
      <alignment horizontal="center" vertical="center"/>
    </xf>
    <xf numFmtId="165" fontId="83" fillId="19" borderId="21" xfId="0" applyNumberFormat="1" applyFont="1" applyFill="1" applyBorder="1" applyAlignment="1">
      <alignment horizontal="center" vertical="center"/>
    </xf>
    <xf numFmtId="165" fontId="83" fillId="29" borderId="26" xfId="0" applyNumberFormat="1" applyFont="1" applyFill="1" applyBorder="1" applyAlignment="1">
      <alignment horizontal="center" vertical="center"/>
    </xf>
    <xf numFmtId="165" fontId="83" fillId="29" borderId="21" xfId="0" applyNumberFormat="1" applyFont="1" applyFill="1" applyBorder="1" applyAlignment="1">
      <alignment horizontal="center" vertical="center"/>
    </xf>
    <xf numFmtId="3" fontId="20" fillId="5" borderId="0" xfId="0" applyNumberFormat="1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horizontal="center" wrapText="1"/>
    </xf>
    <xf numFmtId="165" fontId="43" fillId="16" borderId="0" xfId="0" applyFont="1" applyFill="1" applyBorder="1" applyAlignment="1">
      <alignment horizontal="center" vertical="center"/>
    </xf>
    <xf numFmtId="165" fontId="1" fillId="28" borderId="0" xfId="0" applyFont="1" applyFill="1" applyBorder="1" applyAlignment="1">
      <alignment horizontal="left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wrapText="1"/>
    </xf>
    <xf numFmtId="165" fontId="0" fillId="5" borderId="0" xfId="0" applyFill="1" applyBorder="1" applyAlignment="1">
      <alignment horizontal="right"/>
    </xf>
    <xf numFmtId="165" fontId="83" fillId="19" borderId="26" xfId="0" applyNumberFormat="1" applyFont="1" applyFill="1" applyBorder="1" applyAlignment="1">
      <alignment horizontal="center" vertical="center"/>
    </xf>
    <xf numFmtId="165" fontId="83" fillId="5" borderId="26" xfId="0" applyNumberFormat="1" applyFont="1" applyFill="1" applyBorder="1" applyAlignment="1">
      <alignment horizontal="center" vertical="center"/>
    </xf>
    <xf numFmtId="165" fontId="83" fillId="5" borderId="26" xfId="0" applyNumberFormat="1" applyFont="1" applyFill="1" applyBorder="1" applyAlignment="1">
      <alignment horizontal="center" vertical="center" wrapText="1"/>
    </xf>
    <xf numFmtId="165" fontId="83" fillId="5" borderId="21" xfId="0" applyNumberFormat="1" applyFont="1" applyFill="1" applyBorder="1" applyAlignment="1">
      <alignment horizontal="center" vertical="center" wrapText="1"/>
    </xf>
    <xf numFmtId="165" fontId="83" fillId="5" borderId="0" xfId="0" applyNumberFormat="1" applyFont="1" applyFill="1" applyBorder="1" applyAlignment="1">
      <alignment horizontal="center" vertical="center"/>
    </xf>
    <xf numFmtId="165" fontId="16" fillId="5" borderId="26" xfId="0" applyFont="1" applyFill="1" applyBorder="1" applyAlignment="1">
      <alignment horizontal="center" vertical="center"/>
    </xf>
    <xf numFmtId="165" fontId="52" fillId="5" borderId="0" xfId="0" applyFont="1" applyFill="1" applyAlignment="1">
      <alignment horizontal="center" vertical="center"/>
    </xf>
    <xf numFmtId="165" fontId="0" fillId="4" borderId="0" xfId="0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 wrapText="1"/>
    </xf>
    <xf numFmtId="165" fontId="3" fillId="4" borderId="0" xfId="0" applyFont="1" applyFill="1" applyBorder="1" applyAlignment="1">
      <alignment horizontal="center" vertical="top"/>
    </xf>
    <xf numFmtId="165" fontId="17" fillId="4" borderId="0" xfId="0" applyFont="1" applyFill="1" applyBorder="1" applyAlignment="1">
      <alignment horizontal="center"/>
    </xf>
    <xf numFmtId="165" fontId="4" fillId="4" borderId="0" xfId="0" applyFont="1" applyFill="1" applyAlignment="1">
      <alignment horizontal="right"/>
    </xf>
    <xf numFmtId="165" fontId="9" fillId="5" borderId="0" xfId="0" applyFont="1" applyFill="1" applyAlignment="1">
      <alignment horizontal="left"/>
    </xf>
    <xf numFmtId="0" fontId="17" fillId="5" borderId="0" xfId="0" applyNumberFormat="1" applyFont="1" applyFill="1" applyAlignment="1">
      <alignment horizontal="center"/>
    </xf>
    <xf numFmtId="14" fontId="17" fillId="5" borderId="0" xfId="0" applyNumberFormat="1" applyFont="1" applyFill="1" applyAlignment="1">
      <alignment horizontal="center"/>
    </xf>
    <xf numFmtId="165" fontId="4" fillId="4" borderId="0" xfId="0" applyFont="1" applyFill="1" applyBorder="1" applyAlignment="1">
      <alignment horizontal="right"/>
    </xf>
    <xf numFmtId="165" fontId="9" fillId="4" borderId="0" xfId="0" applyFont="1" applyFill="1" applyBorder="1" applyAlignment="1">
      <alignment horizontal="left"/>
    </xf>
    <xf numFmtId="14" fontId="9" fillId="4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center"/>
    </xf>
    <xf numFmtId="165" fontId="0" fillId="5" borderId="0" xfId="0" applyFill="1" applyBorder="1" applyAlignment="1">
      <alignment horizontal="center" vertical="center"/>
    </xf>
    <xf numFmtId="165" fontId="54" fillId="4" borderId="0" xfId="0" applyFont="1" applyFill="1" applyBorder="1" applyAlignment="1">
      <alignment horizontal="left"/>
    </xf>
    <xf numFmtId="165" fontId="2" fillId="4" borderId="0" xfId="0" applyFont="1" applyFill="1" applyBorder="1" applyAlignment="1">
      <alignment horizontal="left" vertical="center"/>
    </xf>
    <xf numFmtId="165" fontId="73" fillId="4" borderId="60" xfId="0" applyFont="1" applyFill="1" applyBorder="1" applyAlignment="1">
      <alignment horizontal="center" vertical="center" wrapText="1"/>
    </xf>
    <xf numFmtId="165" fontId="73" fillId="4" borderId="61" xfId="0" applyFont="1" applyFill="1" applyBorder="1" applyAlignment="1">
      <alignment horizontal="center" vertical="center" wrapText="1"/>
    </xf>
    <xf numFmtId="165" fontId="73" fillId="4" borderId="62" xfId="0" applyFont="1" applyFill="1" applyBorder="1" applyAlignment="1">
      <alignment horizontal="center" vertical="center" wrapText="1"/>
    </xf>
    <xf numFmtId="165" fontId="73" fillId="4" borderId="63" xfId="0" applyFont="1" applyFill="1" applyBorder="1" applyAlignment="1">
      <alignment horizontal="center" vertical="center" wrapText="1"/>
    </xf>
    <xf numFmtId="165" fontId="73" fillId="4" borderId="0" xfId="0" applyFont="1" applyFill="1" applyBorder="1" applyAlignment="1">
      <alignment horizontal="center" vertical="center" wrapText="1"/>
    </xf>
    <xf numFmtId="165" fontId="73" fillId="4" borderId="64" xfId="0" applyFont="1" applyFill="1" applyBorder="1" applyAlignment="1">
      <alignment horizontal="center" vertical="center" wrapText="1"/>
    </xf>
    <xf numFmtId="165" fontId="73" fillId="4" borderId="65" xfId="0" applyFont="1" applyFill="1" applyBorder="1" applyAlignment="1">
      <alignment horizontal="center" vertical="center" wrapText="1"/>
    </xf>
    <xf numFmtId="165" fontId="73" fillId="4" borderId="66" xfId="0" applyFont="1" applyFill="1" applyBorder="1" applyAlignment="1">
      <alignment horizontal="center" vertical="center" wrapText="1"/>
    </xf>
    <xf numFmtId="165" fontId="73" fillId="4" borderId="67" xfId="0" applyFont="1" applyFill="1" applyBorder="1" applyAlignment="1">
      <alignment horizontal="center" vertical="center" wrapText="1"/>
    </xf>
    <xf numFmtId="165" fontId="0" fillId="4" borderId="1" xfId="0" applyFill="1" applyBorder="1" applyAlignment="1">
      <alignment horizontal="center"/>
    </xf>
    <xf numFmtId="165" fontId="0" fillId="4" borderId="3" xfId="0" applyFill="1" applyBorder="1" applyAlignment="1">
      <alignment horizontal="center"/>
    </xf>
    <xf numFmtId="165" fontId="0" fillId="4" borderId="4" xfId="0" applyFill="1" applyBorder="1" applyAlignment="1">
      <alignment horizontal="center"/>
    </xf>
    <xf numFmtId="165" fontId="0" fillId="4" borderId="5" xfId="0" applyFill="1" applyBorder="1" applyAlignment="1">
      <alignment horizontal="center"/>
    </xf>
    <xf numFmtId="165" fontId="0" fillId="4" borderId="6" xfId="0" applyFill="1" applyBorder="1" applyAlignment="1">
      <alignment horizontal="center"/>
    </xf>
    <xf numFmtId="165" fontId="0" fillId="4" borderId="8" xfId="0" applyFill="1" applyBorder="1" applyAlignment="1">
      <alignment horizontal="center"/>
    </xf>
    <xf numFmtId="165" fontId="43" fillId="4" borderId="2" xfId="0" applyFont="1" applyFill="1" applyBorder="1" applyAlignment="1">
      <alignment horizontal="center" vertical="center" wrapText="1"/>
    </xf>
    <xf numFmtId="165" fontId="43" fillId="4" borderId="7" xfId="0" applyFont="1" applyFill="1" applyBorder="1" applyAlignment="1">
      <alignment horizontal="center" vertical="center" wrapText="1"/>
    </xf>
    <xf numFmtId="165" fontId="0" fillId="5" borderId="1" xfId="0" applyFill="1" applyBorder="1" applyAlignment="1">
      <alignment horizontal="center"/>
    </xf>
    <xf numFmtId="165" fontId="0" fillId="5" borderId="3" xfId="0" applyFill="1" applyBorder="1" applyAlignment="1">
      <alignment horizontal="center"/>
    </xf>
    <xf numFmtId="165" fontId="0" fillId="5" borderId="4" xfId="0" applyFill="1" applyBorder="1" applyAlignment="1">
      <alignment horizontal="center"/>
    </xf>
    <xf numFmtId="165" fontId="0" fillId="5" borderId="5" xfId="0" applyFill="1" applyBorder="1" applyAlignment="1">
      <alignment horizontal="center"/>
    </xf>
    <xf numFmtId="165" fontId="0" fillId="5" borderId="6" xfId="0" applyFill="1" applyBorder="1" applyAlignment="1">
      <alignment horizontal="center"/>
    </xf>
    <xf numFmtId="165" fontId="0" fillId="5" borderId="8" xfId="0" applyFill="1" applyBorder="1" applyAlignment="1">
      <alignment horizontal="center"/>
    </xf>
    <xf numFmtId="165" fontId="54" fillId="5" borderId="2" xfId="0" applyFont="1" applyFill="1" applyBorder="1" applyAlignment="1">
      <alignment horizontal="center" vertical="center" wrapText="1"/>
    </xf>
    <xf numFmtId="165" fontId="54" fillId="5" borderId="7" xfId="0" applyFont="1" applyFill="1" applyBorder="1" applyAlignment="1">
      <alignment horizontal="center" vertical="center" wrapText="1"/>
    </xf>
    <xf numFmtId="165" fontId="86" fillId="4" borderId="2" xfId="0" applyFont="1" applyFill="1" applyBorder="1" applyAlignment="1">
      <alignment horizontal="center" vertical="center" wrapText="1"/>
    </xf>
    <xf numFmtId="165" fontId="57" fillId="0" borderId="2" xfId="0" applyFont="1" applyBorder="1" applyAlignment="1">
      <alignment horizontal="center" vertical="center" wrapText="1"/>
    </xf>
    <xf numFmtId="165" fontId="57" fillId="0" borderId="7" xfId="0" applyFont="1" applyBorder="1" applyAlignment="1">
      <alignment horizontal="center" vertical="center" wrapText="1"/>
    </xf>
    <xf numFmtId="165" fontId="54" fillId="4" borderId="2" xfId="0" applyFont="1" applyFill="1" applyBorder="1" applyAlignment="1">
      <alignment horizontal="center" vertical="top"/>
    </xf>
    <xf numFmtId="165" fontId="54" fillId="4" borderId="7" xfId="0" applyFont="1" applyFill="1" applyBorder="1" applyAlignment="1">
      <alignment horizontal="center" vertical="top"/>
    </xf>
    <xf numFmtId="165" fontId="43" fillId="4" borderId="2" xfId="0" applyFont="1" applyFill="1" applyBorder="1" applyAlignment="1">
      <alignment horizontal="center" vertical="top"/>
    </xf>
    <xf numFmtId="165" fontId="43" fillId="4" borderId="7" xfId="0" applyFont="1" applyFill="1" applyBorder="1" applyAlignment="1">
      <alignment horizontal="center" vertical="top"/>
    </xf>
    <xf numFmtId="165" fontId="0" fillId="4" borderId="7" xfId="0" applyFill="1" applyBorder="1" applyAlignment="1">
      <alignment horizontal="center"/>
    </xf>
    <xf numFmtId="165" fontId="53" fillId="4" borderId="0" xfId="0" applyFont="1" applyFill="1" applyBorder="1" applyAlignment="1">
      <alignment horizontal="center"/>
    </xf>
    <xf numFmtId="165" fontId="4" fillId="4" borderId="2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9" fillId="5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right" vertical="center"/>
    </xf>
    <xf numFmtId="165" fontId="9" fillId="4" borderId="0" xfId="0" applyFont="1" applyFill="1" applyBorder="1" applyAlignment="1">
      <alignment horizontal="right" vertical="center"/>
    </xf>
    <xf numFmtId="3" fontId="9" fillId="4" borderId="0" xfId="0" applyNumberFormat="1" applyFont="1" applyFill="1" applyBorder="1" applyAlignment="1">
      <alignment horizontal="right" vertical="center"/>
    </xf>
    <xf numFmtId="165" fontId="3" fillId="4" borderId="0" xfId="0" applyFont="1" applyFill="1" applyBorder="1" applyAlignment="1">
      <alignment horizontal="left" vertical="center"/>
    </xf>
    <xf numFmtId="165" fontId="71" fillId="8" borderId="0" xfId="0" applyFont="1" applyFill="1" applyBorder="1" applyAlignment="1">
      <alignment horizontal="left" vertical="top"/>
    </xf>
    <xf numFmtId="165" fontId="9" fillId="4" borderId="0" xfId="0" applyFont="1" applyFill="1" applyAlignment="1">
      <alignment horizontal="left"/>
    </xf>
    <xf numFmtId="0" fontId="17" fillId="4" borderId="0" xfId="0" applyNumberFormat="1" applyFont="1" applyFill="1" applyAlignment="1">
      <alignment horizontal="center"/>
    </xf>
    <xf numFmtId="165" fontId="91" fillId="10" borderId="40" xfId="0" applyFont="1" applyFill="1" applyBorder="1" applyAlignment="1">
      <alignment horizontal="right"/>
    </xf>
    <xf numFmtId="165" fontId="91" fillId="10" borderId="10" xfId="0" applyFont="1" applyFill="1" applyBorder="1" applyAlignment="1">
      <alignment horizontal="right"/>
    </xf>
    <xf numFmtId="1" fontId="16" fillId="11" borderId="25" xfId="0" applyNumberFormat="1" applyFont="1" applyFill="1" applyBorder="1" applyAlignment="1">
      <alignment horizontal="center"/>
    </xf>
    <xf numFmtId="1" fontId="16" fillId="11" borderId="26" xfId="0" applyNumberFormat="1" applyFont="1" applyFill="1" applyBorder="1" applyAlignment="1">
      <alignment horizontal="center"/>
    </xf>
    <xf numFmtId="1" fontId="16" fillId="11" borderId="27" xfId="0" applyNumberFormat="1" applyFont="1" applyFill="1" applyBorder="1" applyAlignment="1">
      <alignment horizontal="center"/>
    </xf>
    <xf numFmtId="1" fontId="16" fillId="11" borderId="28" xfId="0" applyNumberFormat="1" applyFont="1" applyFill="1" applyBorder="1" applyAlignment="1">
      <alignment horizontal="center"/>
    </xf>
    <xf numFmtId="1" fontId="16" fillId="11" borderId="0" xfId="0" applyNumberFormat="1" applyFont="1" applyFill="1" applyBorder="1" applyAlignment="1">
      <alignment horizontal="center"/>
    </xf>
    <xf numFmtId="1" fontId="16" fillId="11" borderId="29" xfId="0" applyNumberFormat="1" applyFont="1" applyFill="1" applyBorder="1" applyAlignment="1">
      <alignment horizontal="center"/>
    </xf>
    <xf numFmtId="1" fontId="16" fillId="11" borderId="36" xfId="0" applyNumberFormat="1" applyFont="1" applyFill="1" applyBorder="1" applyAlignment="1">
      <alignment horizontal="center"/>
    </xf>
    <xf numFmtId="1" fontId="16" fillId="11" borderId="30" xfId="0" applyNumberFormat="1" applyFont="1" applyFill="1" applyBorder="1" applyAlignment="1">
      <alignment horizontal="center"/>
    </xf>
    <xf numFmtId="1" fontId="16" fillId="11" borderId="31" xfId="0" applyNumberFormat="1" applyFont="1" applyFill="1" applyBorder="1" applyAlignment="1">
      <alignment horizontal="center"/>
    </xf>
    <xf numFmtId="165" fontId="91" fillId="10" borderId="42" xfId="0" applyFont="1" applyFill="1" applyBorder="1" applyAlignment="1">
      <alignment horizontal="right"/>
    </xf>
    <xf numFmtId="165" fontId="14" fillId="10" borderId="16" xfId="0" applyFont="1" applyFill="1" applyBorder="1" applyAlignment="1">
      <alignment horizontal="right"/>
    </xf>
    <xf numFmtId="165" fontId="14" fillId="7" borderId="10" xfId="0" applyFont="1" applyFill="1" applyBorder="1" applyAlignment="1">
      <alignment horizontal="center"/>
    </xf>
    <xf numFmtId="165" fontId="87" fillId="10" borderId="0" xfId="0" applyFont="1" applyFill="1" applyBorder="1" applyAlignment="1">
      <alignment horizontal="right" vertical="center" wrapText="1"/>
    </xf>
    <xf numFmtId="165" fontId="87" fillId="10" borderId="14" xfId="0" applyFont="1" applyFill="1" applyBorder="1" applyAlignment="1">
      <alignment horizontal="right" vertical="center" wrapText="1"/>
    </xf>
    <xf numFmtId="165" fontId="87" fillId="10" borderId="30" xfId="0" applyFont="1" applyFill="1" applyBorder="1" applyAlignment="1">
      <alignment horizontal="right" vertical="center" wrapText="1"/>
    </xf>
    <xf numFmtId="165" fontId="87" fillId="10" borderId="55" xfId="0" applyFont="1" applyFill="1" applyBorder="1" applyAlignment="1">
      <alignment horizontal="right" vertical="center" wrapText="1"/>
    </xf>
    <xf numFmtId="165" fontId="14" fillId="10" borderId="56" xfId="0" applyFont="1" applyFill="1" applyBorder="1" applyAlignment="1">
      <alignment horizontal="right"/>
    </xf>
    <xf numFmtId="165" fontId="14" fillId="10" borderId="57" xfId="0" applyFont="1" applyFill="1" applyBorder="1" applyAlignment="1">
      <alignment horizontal="right"/>
    </xf>
    <xf numFmtId="165" fontId="1" fillId="7" borderId="17" xfId="0" applyFont="1" applyFill="1" applyBorder="1" applyAlignment="1">
      <alignment horizontal="center" vertical="center" wrapText="1"/>
    </xf>
    <xf numFmtId="165" fontId="1" fillId="7" borderId="12" xfId="0" applyFont="1" applyFill="1" applyBorder="1" applyAlignment="1">
      <alignment horizontal="center" vertical="center" wrapText="1"/>
    </xf>
    <xf numFmtId="165" fontId="0" fillId="0" borderId="0" xfId="0" applyAlignment="1">
      <alignment horizontal="center" wrapText="1"/>
    </xf>
    <xf numFmtId="165" fontId="0" fillId="0" borderId="0" xfId="0" applyAlignment="1">
      <alignment horizontal="center"/>
    </xf>
    <xf numFmtId="165" fontId="0" fillId="5" borderId="0" xfId="0" applyFill="1" applyBorder="1" applyAlignment="1">
      <alignment horizontal="center" wrapText="1"/>
    </xf>
    <xf numFmtId="3" fontId="9" fillId="5" borderId="0" xfId="0" applyNumberFormat="1" applyFont="1" applyFill="1" applyBorder="1" applyAlignment="1">
      <alignment horizontal="right" vertical="center"/>
    </xf>
    <xf numFmtId="165" fontId="24" fillId="8" borderId="0" xfId="0" applyFont="1" applyFill="1" applyBorder="1" applyAlignment="1">
      <alignment horizontal="center" vertical="center"/>
    </xf>
    <xf numFmtId="3" fontId="78" fillId="8" borderId="0" xfId="0" applyNumberFormat="1" applyFont="1" applyFill="1" applyBorder="1" applyAlignment="1">
      <alignment horizontal="center"/>
    </xf>
    <xf numFmtId="3" fontId="78" fillId="8" borderId="0" xfId="0" applyNumberFormat="1" applyFont="1" applyFill="1" applyBorder="1" applyAlignment="1">
      <alignment horizontal="right"/>
    </xf>
    <xf numFmtId="3" fontId="78" fillId="8" borderId="0" xfId="0" applyNumberFormat="1" applyFont="1" applyFill="1" applyBorder="1" applyAlignment="1">
      <alignment horizontal="center" vertical="top"/>
    </xf>
    <xf numFmtId="3" fontId="78" fillId="8" borderId="0" xfId="0" applyNumberFormat="1" applyFont="1" applyFill="1" applyBorder="1" applyAlignment="1">
      <alignment horizontal="right" vertical="top"/>
    </xf>
    <xf numFmtId="165" fontId="30" fillId="8" borderId="0" xfId="0" applyFont="1" applyFill="1" applyBorder="1" applyAlignment="1">
      <alignment horizontal="left" vertical="center" wrapText="1"/>
    </xf>
    <xf numFmtId="165" fontId="1" fillId="6" borderId="0" xfId="0" applyFont="1" applyFill="1" applyBorder="1" applyAlignment="1">
      <alignment horizontal="center"/>
    </xf>
    <xf numFmtId="165" fontId="11" fillId="14" borderId="10" xfId="0" applyFont="1" applyFill="1" applyBorder="1" applyAlignment="1">
      <alignment horizontal="right"/>
    </xf>
    <xf numFmtId="165" fontId="0" fillId="9" borderId="10" xfId="0" applyFont="1" applyFill="1" applyBorder="1" applyAlignment="1">
      <alignment horizontal="center"/>
    </xf>
    <xf numFmtId="165" fontId="9" fillId="5" borderId="0" xfId="0" applyFont="1" applyFill="1" applyBorder="1" applyAlignment="1">
      <alignment horizontal="right" vertical="center"/>
    </xf>
    <xf numFmtId="165" fontId="22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center" vertical="top"/>
    </xf>
    <xf numFmtId="165" fontId="22" fillId="8" borderId="0" xfId="0" applyFont="1" applyFill="1" applyBorder="1" applyAlignment="1">
      <alignment horizontal="left" vertical="top"/>
    </xf>
    <xf numFmtId="165" fontId="25" fillId="8" borderId="0" xfId="0" applyFont="1" applyFill="1" applyBorder="1" applyAlignment="1">
      <alignment horizontal="center" vertical="center" wrapText="1"/>
    </xf>
    <xf numFmtId="165" fontId="78" fillId="8" borderId="0" xfId="0" applyFont="1" applyFill="1" applyBorder="1" applyAlignment="1">
      <alignment horizontal="left"/>
    </xf>
    <xf numFmtId="165" fontId="78" fillId="8" borderId="0" xfId="0" applyFont="1" applyFill="1" applyBorder="1" applyAlignment="1">
      <alignment horizontal="left" vertical="top"/>
    </xf>
    <xf numFmtId="3" fontId="22" fillId="8" borderId="0" xfId="0" applyNumberFormat="1" applyFont="1" applyFill="1" applyBorder="1" applyAlignment="1">
      <alignment horizontal="center"/>
    </xf>
    <xf numFmtId="1" fontId="0" fillId="14" borderId="0" xfId="0" applyNumberFormat="1" applyFill="1" applyAlignment="1">
      <alignment horizontal="center"/>
    </xf>
    <xf numFmtId="165" fontId="14" fillId="10" borderId="40" xfId="0" applyFont="1" applyFill="1" applyBorder="1" applyAlignment="1">
      <alignment horizontal="right"/>
    </xf>
    <xf numFmtId="165" fontId="14" fillId="10" borderId="10" xfId="0" applyFont="1" applyFill="1" applyBorder="1" applyAlignment="1">
      <alignment horizontal="right"/>
    </xf>
    <xf numFmtId="165" fontId="14" fillId="10" borderId="42" xfId="0" applyFont="1" applyFill="1" applyBorder="1" applyAlignment="1">
      <alignment horizontal="right"/>
    </xf>
    <xf numFmtId="165" fontId="14" fillId="9" borderId="33" xfId="0" applyFont="1" applyFill="1" applyBorder="1" applyAlignment="1">
      <alignment horizontal="right"/>
    </xf>
    <xf numFmtId="165" fontId="14" fillId="9" borderId="34" xfId="0" applyFont="1" applyFill="1" applyBorder="1" applyAlignment="1">
      <alignment horizontal="right"/>
    </xf>
    <xf numFmtId="165" fontId="40" fillId="13" borderId="0" xfId="0" applyFont="1" applyFill="1" applyBorder="1" applyAlignment="1">
      <alignment horizontal="center"/>
    </xf>
    <xf numFmtId="165" fontId="40" fillId="9" borderId="36" xfId="0" applyFont="1" applyFill="1" applyBorder="1" applyAlignment="1">
      <alignment horizontal="center"/>
    </xf>
    <xf numFmtId="165" fontId="40" fillId="9" borderId="31" xfId="0" applyFont="1" applyFill="1" applyBorder="1" applyAlignment="1">
      <alignment horizontal="center"/>
    </xf>
    <xf numFmtId="165" fontId="40" fillId="9" borderId="33" xfId="0" applyFont="1" applyFill="1" applyBorder="1" applyAlignment="1">
      <alignment horizontal="center"/>
    </xf>
    <xf numFmtId="165" fontId="40" fillId="9" borderId="34" xfId="0" applyFont="1" applyFill="1" applyBorder="1" applyAlignment="1">
      <alignment horizontal="center"/>
    </xf>
    <xf numFmtId="165" fontId="40" fillId="9" borderId="35" xfId="0" applyFont="1" applyFill="1" applyBorder="1" applyAlignment="1">
      <alignment horizontal="center"/>
    </xf>
    <xf numFmtId="165" fontId="48" fillId="9" borderId="33" xfId="0" applyFont="1" applyFill="1" applyBorder="1" applyAlignment="1">
      <alignment horizontal="right"/>
    </xf>
    <xf numFmtId="1" fontId="43" fillId="11" borderId="25" xfId="0" applyNumberFormat="1" applyFont="1" applyFill="1" applyBorder="1" applyAlignment="1">
      <alignment horizontal="center"/>
    </xf>
    <xf numFmtId="1" fontId="43" fillId="11" borderId="26" xfId="0" applyNumberFormat="1" applyFont="1" applyFill="1" applyBorder="1" applyAlignment="1">
      <alignment horizontal="center"/>
    </xf>
    <xf numFmtId="1" fontId="43" fillId="11" borderId="27" xfId="0" applyNumberFormat="1" applyFont="1" applyFill="1" applyBorder="1" applyAlignment="1">
      <alignment horizontal="center"/>
    </xf>
    <xf numFmtId="1" fontId="43" fillId="11" borderId="28" xfId="0" applyNumberFormat="1" applyFont="1" applyFill="1" applyBorder="1" applyAlignment="1">
      <alignment horizontal="center"/>
    </xf>
    <xf numFmtId="1" fontId="43" fillId="11" borderId="0" xfId="0" applyNumberFormat="1" applyFont="1" applyFill="1" applyBorder="1" applyAlignment="1">
      <alignment horizontal="center"/>
    </xf>
    <xf numFmtId="1" fontId="43" fillId="11" borderId="29" xfId="0" applyNumberFormat="1" applyFont="1" applyFill="1" applyBorder="1" applyAlignment="1">
      <alignment horizontal="center"/>
    </xf>
    <xf numFmtId="1" fontId="43" fillId="11" borderId="36" xfId="0" applyNumberFormat="1" applyFont="1" applyFill="1" applyBorder="1" applyAlignment="1">
      <alignment horizontal="center"/>
    </xf>
    <xf numFmtId="1" fontId="43" fillId="11" borderId="30" xfId="0" applyNumberFormat="1" applyFont="1" applyFill="1" applyBorder="1" applyAlignment="1">
      <alignment horizontal="center"/>
    </xf>
    <xf numFmtId="1" fontId="43" fillId="11" borderId="31" xfId="0" applyNumberFormat="1" applyFont="1" applyFill="1" applyBorder="1" applyAlignment="1">
      <alignment horizontal="center"/>
    </xf>
    <xf numFmtId="165" fontId="1" fillId="10" borderId="0" xfId="0" applyFont="1" applyFill="1" applyBorder="1" applyAlignment="1">
      <alignment horizontal="center" vertical="center" wrapText="1"/>
    </xf>
    <xf numFmtId="165" fontId="1" fillId="10" borderId="14" xfId="0" applyFont="1" applyFill="1" applyBorder="1" applyAlignment="1">
      <alignment horizontal="center" vertical="center" wrapText="1"/>
    </xf>
    <xf numFmtId="165" fontId="1" fillId="10" borderId="0" xfId="0" applyFont="1" applyFill="1" applyBorder="1" applyAlignment="1">
      <alignment horizontal="right" vertical="center" wrapText="1"/>
    </xf>
    <xf numFmtId="165" fontId="1" fillId="10" borderId="14" xfId="0" applyFont="1" applyFill="1" applyBorder="1" applyAlignment="1">
      <alignment horizontal="right" vertical="center" wrapText="1"/>
    </xf>
    <xf numFmtId="165" fontId="1" fillId="10" borderId="30" xfId="0" applyFont="1" applyFill="1" applyBorder="1" applyAlignment="1">
      <alignment horizontal="right" vertical="center" wrapText="1"/>
    </xf>
    <xf numFmtId="165" fontId="1" fillId="10" borderId="55" xfId="0" applyFont="1" applyFill="1" applyBorder="1" applyAlignment="1">
      <alignment horizontal="right" vertical="center" wrapText="1"/>
    </xf>
    <xf numFmtId="165" fontId="0" fillId="5" borderId="33" xfId="0" applyFont="1" applyFill="1" applyBorder="1" applyAlignment="1">
      <alignment horizontal="center"/>
    </xf>
    <xf numFmtId="165" fontId="0" fillId="5" borderId="34" xfId="0" applyFont="1" applyFill="1" applyBorder="1" applyAlignment="1">
      <alignment horizontal="center"/>
    </xf>
    <xf numFmtId="165" fontId="0" fillId="5" borderId="50" xfId="0" applyFont="1" applyFill="1" applyBorder="1" applyAlignment="1">
      <alignment horizontal="center"/>
    </xf>
    <xf numFmtId="165" fontId="14" fillId="13" borderId="0" xfId="0" applyFont="1" applyFill="1" applyBorder="1" applyAlignment="1">
      <alignment horizontal="center"/>
    </xf>
    <xf numFmtId="165" fontId="48" fillId="5" borderId="33" xfId="0" applyFont="1" applyFill="1" applyBorder="1" applyAlignment="1">
      <alignment horizontal="right"/>
    </xf>
    <xf numFmtId="165" fontId="14" fillId="5" borderId="34" xfId="0" applyFont="1" applyFill="1" applyBorder="1" applyAlignment="1">
      <alignment horizontal="right"/>
    </xf>
    <xf numFmtId="165" fontId="14" fillId="5" borderId="33" xfId="0" applyFont="1" applyFill="1" applyBorder="1" applyAlignment="1">
      <alignment horizontal="right"/>
    </xf>
    <xf numFmtId="165" fontId="40" fillId="5" borderId="36" xfId="0" applyFont="1" applyFill="1" applyBorder="1" applyAlignment="1">
      <alignment horizontal="center"/>
    </xf>
    <xf numFmtId="165" fontId="40" fillId="5" borderId="31" xfId="0" applyFont="1" applyFill="1" applyBorder="1" applyAlignment="1">
      <alignment horizontal="center"/>
    </xf>
    <xf numFmtId="165" fontId="40" fillId="5" borderId="33" xfId="0" applyFont="1" applyFill="1" applyBorder="1" applyAlignment="1">
      <alignment horizontal="center"/>
    </xf>
    <xf numFmtId="165" fontId="40" fillId="5" borderId="34" xfId="0" applyFont="1" applyFill="1" applyBorder="1" applyAlignment="1">
      <alignment horizontal="center"/>
    </xf>
    <xf numFmtId="165" fontId="40" fillId="5" borderId="35" xfId="0" applyFont="1" applyFill="1" applyBorder="1" applyAlignment="1">
      <alignment horizontal="center"/>
    </xf>
    <xf numFmtId="3" fontId="14" fillId="7" borderId="49" xfId="0" applyNumberFormat="1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22" fillId="8" borderId="0" xfId="0" applyFont="1" applyFill="1" applyBorder="1" applyAlignment="1">
      <alignment horizontal="center" vertical="center"/>
    </xf>
    <xf numFmtId="1" fontId="4" fillId="5" borderId="0" xfId="0" applyNumberFormat="1" applyFont="1" applyFill="1" applyBorder="1" applyAlignment="1">
      <alignment horizontal="center" vertical="center"/>
    </xf>
    <xf numFmtId="168" fontId="10" fillId="5" borderId="0" xfId="0" applyNumberFormat="1" applyFont="1" applyFill="1" applyBorder="1" applyAlignment="1">
      <alignment horizontal="center" vertical="center"/>
    </xf>
    <xf numFmtId="165" fontId="23" fillId="8" borderId="0" xfId="0" applyFont="1" applyFill="1" applyBorder="1" applyAlignment="1">
      <alignment horizontal="left"/>
    </xf>
    <xf numFmtId="165" fontId="23" fillId="8" borderId="0" xfId="0" applyFont="1" applyFill="1" applyBorder="1" applyAlignment="1">
      <alignment horizontal="left" vertical="top"/>
    </xf>
    <xf numFmtId="165" fontId="3" fillId="4" borderId="5" xfId="0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left" vertical="top" wrapText="1"/>
    </xf>
    <xf numFmtId="3" fontId="10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25" xfId="0" applyNumberFormat="1" applyFont="1" applyFill="1" applyBorder="1" applyAlignment="1">
      <alignment horizontal="center"/>
    </xf>
    <xf numFmtId="1" fontId="16" fillId="5" borderId="26" xfId="0" applyNumberFormat="1" applyFont="1" applyFill="1" applyBorder="1" applyAlignment="1">
      <alignment horizontal="center"/>
    </xf>
    <xf numFmtId="1" fontId="16" fillId="5" borderId="27" xfId="0" applyNumberFormat="1" applyFont="1" applyFill="1" applyBorder="1" applyAlignment="1">
      <alignment horizontal="center"/>
    </xf>
    <xf numFmtId="1" fontId="16" fillId="5" borderId="28" xfId="0" applyNumberFormat="1" applyFont="1" applyFill="1" applyBorder="1" applyAlignment="1">
      <alignment horizontal="center"/>
    </xf>
    <xf numFmtId="1" fontId="16" fillId="5" borderId="0" xfId="0" applyNumberFormat="1" applyFont="1" applyFill="1" applyBorder="1" applyAlignment="1">
      <alignment horizontal="center"/>
    </xf>
    <xf numFmtId="1" fontId="16" fillId="5" borderId="29" xfId="0" applyNumberFormat="1" applyFont="1" applyFill="1" applyBorder="1" applyAlignment="1">
      <alignment horizontal="center"/>
    </xf>
    <xf numFmtId="1" fontId="16" fillId="5" borderId="36" xfId="0" applyNumberFormat="1" applyFont="1" applyFill="1" applyBorder="1" applyAlignment="1">
      <alignment horizontal="center"/>
    </xf>
    <xf numFmtId="1" fontId="16" fillId="5" borderId="30" xfId="0" applyNumberFormat="1" applyFont="1" applyFill="1" applyBorder="1" applyAlignment="1">
      <alignment horizontal="center"/>
    </xf>
    <xf numFmtId="1" fontId="16" fillId="5" borderId="31" xfId="0" applyNumberFormat="1" applyFont="1" applyFill="1" applyBorder="1" applyAlignment="1">
      <alignment horizontal="center"/>
    </xf>
    <xf numFmtId="165" fontId="91" fillId="10" borderId="33" xfId="0" applyFont="1" applyFill="1" applyBorder="1" applyAlignment="1">
      <alignment horizontal="right"/>
    </xf>
    <xf numFmtId="165" fontId="91" fillId="10" borderId="35" xfId="0" applyFont="1" applyFill="1" applyBorder="1" applyAlignment="1">
      <alignment horizontal="right"/>
    </xf>
    <xf numFmtId="165" fontId="14" fillId="10" borderId="33" xfId="0" applyFont="1" applyFill="1" applyBorder="1" applyAlignment="1">
      <alignment horizontal="right"/>
    </xf>
    <xf numFmtId="165" fontId="14" fillId="10" borderId="35" xfId="0" applyFont="1" applyFill="1" applyBorder="1" applyAlignment="1">
      <alignment horizontal="right"/>
    </xf>
    <xf numFmtId="3" fontId="37" fillId="8" borderId="0" xfId="0" applyNumberFormat="1" applyFont="1" applyFill="1" applyBorder="1" applyAlignment="1">
      <alignment horizontal="right"/>
    </xf>
    <xf numFmtId="3" fontId="37" fillId="8" borderId="0" xfId="0" applyNumberFormat="1" applyFont="1" applyFill="1" applyBorder="1" applyAlignment="1">
      <alignment horizontal="right" vertical="top"/>
    </xf>
    <xf numFmtId="165" fontId="2" fillId="4" borderId="0" xfId="0" applyFont="1" applyFill="1" applyBorder="1" applyAlignment="1">
      <alignment horizontal="left" vertical="top" wrapText="1"/>
    </xf>
    <xf numFmtId="165" fontId="2" fillId="4" borderId="0" xfId="0" applyFont="1" applyFill="1" applyBorder="1" applyAlignment="1">
      <alignment horizontal="left" vertical="top"/>
    </xf>
    <xf numFmtId="165" fontId="80" fillId="5" borderId="0" xfId="0" applyFont="1" applyFill="1" applyBorder="1" applyAlignment="1">
      <alignment horizontal="right" vertical="center"/>
    </xf>
    <xf numFmtId="3" fontId="9" fillId="5" borderId="0" xfId="0" applyNumberFormat="1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center" vertical="top" wrapText="1"/>
    </xf>
    <xf numFmtId="168" fontId="10" fillId="4" borderId="0" xfId="0" applyNumberFormat="1" applyFont="1" applyFill="1" applyBorder="1" applyAlignment="1">
      <alignment horizontal="center" vertical="center"/>
    </xf>
    <xf numFmtId="3" fontId="37" fillId="8" borderId="0" xfId="0" applyNumberFormat="1" applyFont="1" applyFill="1" applyBorder="1" applyAlignment="1">
      <alignment horizontal="center"/>
    </xf>
    <xf numFmtId="3" fontId="37" fillId="8" borderId="0" xfId="0" applyNumberFormat="1" applyFont="1" applyFill="1" applyBorder="1" applyAlignment="1">
      <alignment horizontal="center" vertical="top"/>
    </xf>
    <xf numFmtId="165" fontId="1" fillId="7" borderId="33" xfId="0" applyFont="1" applyFill="1" applyBorder="1" applyAlignment="1">
      <alignment horizontal="right" vertical="center" wrapText="1"/>
    </xf>
    <xf numFmtId="165" fontId="1" fillId="7" borderId="50" xfId="0" applyFont="1" applyFill="1" applyBorder="1" applyAlignment="1">
      <alignment horizontal="right" vertical="center" wrapText="1"/>
    </xf>
    <xf numFmtId="165" fontId="1" fillId="10" borderId="33" xfId="0" applyFont="1" applyFill="1" applyBorder="1" applyAlignment="1">
      <alignment horizontal="right" vertical="center" wrapText="1"/>
    </xf>
    <xf numFmtId="165" fontId="1" fillId="10" borderId="50" xfId="0" applyFont="1" applyFill="1" applyBorder="1" applyAlignment="1">
      <alignment horizontal="right" vertical="center" wrapText="1"/>
    </xf>
    <xf numFmtId="165" fontId="1" fillId="10" borderId="36" xfId="0" applyFont="1" applyFill="1" applyBorder="1" applyAlignment="1">
      <alignment horizontal="right" vertical="center" wrapText="1"/>
    </xf>
    <xf numFmtId="3" fontId="10" fillId="4" borderId="0" xfId="0" applyNumberFormat="1" applyFont="1" applyFill="1" applyBorder="1" applyAlignment="1">
      <alignment horizontal="center" vertical="center"/>
    </xf>
    <xf numFmtId="1" fontId="79" fillId="5" borderId="0" xfId="0" applyNumberFormat="1" applyFont="1" applyFill="1" applyBorder="1" applyAlignment="1">
      <alignment horizontal="left" vertical="center"/>
    </xf>
    <xf numFmtId="165" fontId="9" fillId="5" borderId="0" xfId="0" applyFont="1" applyFill="1" applyBorder="1" applyAlignment="1">
      <alignment horizontal="left" vertical="center"/>
    </xf>
    <xf numFmtId="1" fontId="16" fillId="5" borderId="25" xfId="0" applyNumberFormat="1" applyFont="1" applyFill="1" applyBorder="1" applyAlignment="1">
      <alignment horizontal="left" wrapText="1"/>
    </xf>
    <xf numFmtId="1" fontId="16" fillId="5" borderId="26" xfId="0" applyNumberFormat="1" applyFont="1" applyFill="1" applyBorder="1" applyAlignment="1">
      <alignment horizontal="left" wrapText="1"/>
    </xf>
    <xf numFmtId="1" fontId="16" fillId="5" borderId="27" xfId="0" applyNumberFormat="1" applyFont="1" applyFill="1" applyBorder="1" applyAlignment="1">
      <alignment horizontal="left" wrapText="1"/>
    </xf>
    <xf numFmtId="1" fontId="16" fillId="5" borderId="28" xfId="0" applyNumberFormat="1" applyFont="1" applyFill="1" applyBorder="1" applyAlignment="1">
      <alignment horizontal="left" wrapText="1"/>
    </xf>
    <xf numFmtId="1" fontId="16" fillId="5" borderId="0" xfId="0" applyNumberFormat="1" applyFont="1" applyFill="1" applyBorder="1" applyAlignment="1">
      <alignment horizontal="left" wrapText="1"/>
    </xf>
    <xf numFmtId="1" fontId="16" fillId="5" borderId="29" xfId="0" applyNumberFormat="1" applyFont="1" applyFill="1" applyBorder="1" applyAlignment="1">
      <alignment horizontal="left" wrapText="1"/>
    </xf>
    <xf numFmtId="1" fontId="16" fillId="5" borderId="36" xfId="0" applyNumberFormat="1" applyFont="1" applyFill="1" applyBorder="1" applyAlignment="1">
      <alignment horizontal="left" wrapText="1"/>
    </xf>
    <xf numFmtId="1" fontId="16" fillId="5" borderId="30" xfId="0" applyNumberFormat="1" applyFont="1" applyFill="1" applyBorder="1" applyAlignment="1">
      <alignment horizontal="left" wrapText="1"/>
    </xf>
    <xf numFmtId="1" fontId="16" fillId="5" borderId="31" xfId="0" applyNumberFormat="1" applyFont="1" applyFill="1" applyBorder="1" applyAlignment="1">
      <alignment horizontal="left" wrapText="1"/>
    </xf>
    <xf numFmtId="165" fontId="44" fillId="0" borderId="0" xfId="0" applyFont="1" applyAlignment="1">
      <alignment horizontal="center" wrapText="1"/>
    </xf>
    <xf numFmtId="165" fontId="1" fillId="7" borderId="0" xfId="0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72" fillId="8" borderId="0" xfId="0" applyFont="1" applyFill="1" applyBorder="1" applyAlignment="1">
      <alignment horizontal="left" vertical="center" wrapText="1"/>
    </xf>
    <xf numFmtId="3" fontId="23" fillId="8" borderId="0" xfId="0" applyNumberFormat="1" applyFont="1" applyFill="1" applyBorder="1" applyAlignment="1">
      <alignment horizontal="right" vertical="top"/>
    </xf>
    <xf numFmtId="3" fontId="22" fillId="8" borderId="0" xfId="0" applyNumberFormat="1" applyFont="1" applyFill="1" applyBorder="1" applyAlignment="1">
      <alignment horizontal="right"/>
    </xf>
    <xf numFmtId="165" fontId="64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right" vertical="top"/>
    </xf>
    <xf numFmtId="165" fontId="64" fillId="8" borderId="0" xfId="0" applyFont="1" applyFill="1" applyBorder="1" applyAlignment="1">
      <alignment horizontal="left" vertical="top"/>
    </xf>
    <xf numFmtId="165" fontId="37" fillId="8" borderId="0" xfId="0" applyFont="1" applyFill="1" applyBorder="1" applyAlignment="1">
      <alignment horizontal="center" vertical="center" wrapText="1"/>
    </xf>
    <xf numFmtId="3" fontId="23" fillId="8" borderId="0" xfId="0" applyNumberFormat="1" applyFont="1" applyFill="1" applyBorder="1" applyAlignment="1">
      <alignment horizontal="right"/>
    </xf>
    <xf numFmtId="165" fontId="11" fillId="5" borderId="0" xfId="0" applyFont="1" applyFill="1" applyBorder="1" applyAlignment="1">
      <alignment horizontal="right"/>
    </xf>
    <xf numFmtId="165" fontId="79" fillId="5" borderId="0" xfId="0" applyFont="1" applyFill="1" applyBorder="1" applyAlignment="1">
      <alignment horizontal="right" vertical="center"/>
    </xf>
    <xf numFmtId="165" fontId="40" fillId="7" borderId="10" xfId="0" applyFont="1" applyFill="1" applyBorder="1" applyAlignment="1">
      <alignment horizontal="center" vertical="center" wrapText="1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65" fontId="0" fillId="5" borderId="25" xfId="0" applyFont="1" applyFill="1" applyBorder="1" applyAlignment="1">
      <alignment horizontal="center"/>
    </xf>
    <xf numFmtId="165" fontId="0" fillId="5" borderId="26" xfId="0" applyFont="1" applyFill="1" applyBorder="1" applyAlignment="1">
      <alignment horizontal="center"/>
    </xf>
    <xf numFmtId="165" fontId="0" fillId="5" borderId="52" xfId="0" applyFont="1" applyFill="1" applyBorder="1" applyAlignment="1">
      <alignment horizontal="center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56" fillId="11" borderId="54" xfId="0" applyFont="1" applyFill="1" applyBorder="1" applyAlignment="1">
      <alignment horizontal="center"/>
    </xf>
    <xf numFmtId="165" fontId="0" fillId="5" borderId="18" xfId="0" applyFont="1" applyFill="1" applyBorder="1" applyAlignment="1">
      <alignment horizontal="center"/>
    </xf>
    <xf numFmtId="165" fontId="0" fillId="5" borderId="44" xfId="0" applyFont="1" applyFill="1" applyBorder="1" applyAlignment="1">
      <alignment horizontal="center"/>
    </xf>
    <xf numFmtId="165" fontId="0" fillId="5" borderId="19" xfId="0" applyFont="1" applyFill="1" applyBorder="1" applyAlignment="1">
      <alignment horizontal="center"/>
    </xf>
    <xf numFmtId="165" fontId="14" fillId="9" borderId="46" xfId="0" applyFont="1" applyFill="1" applyBorder="1" applyAlignment="1">
      <alignment horizontal="center"/>
    </xf>
    <xf numFmtId="165" fontId="14" fillId="9" borderId="47" xfId="0" applyFont="1" applyFill="1" applyBorder="1" applyAlignment="1">
      <alignment horizontal="center"/>
    </xf>
    <xf numFmtId="165" fontId="14" fillId="14" borderId="46" xfId="0" applyFont="1" applyFill="1" applyBorder="1" applyAlignment="1">
      <alignment horizontal="right"/>
    </xf>
    <xf numFmtId="165" fontId="14" fillId="14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right"/>
    </xf>
    <xf numFmtId="165" fontId="14" fillId="5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center"/>
    </xf>
    <xf numFmtId="165" fontId="14" fillId="5" borderId="47" xfId="0" applyFont="1" applyFill="1" applyBorder="1" applyAlignment="1">
      <alignment horizontal="center"/>
    </xf>
    <xf numFmtId="165" fontId="14" fillId="7" borderId="49" xfId="0" applyFont="1" applyFill="1" applyBorder="1" applyAlignment="1">
      <alignment horizontal="center"/>
    </xf>
    <xf numFmtId="165" fontId="14" fillId="7" borderId="32" xfId="0" applyFont="1" applyFill="1" applyBorder="1" applyAlignment="1">
      <alignment horizontal="center"/>
    </xf>
    <xf numFmtId="165" fontId="42" fillId="14" borderId="36" xfId="0" applyFont="1" applyFill="1" applyBorder="1" applyAlignment="1">
      <alignment horizontal="center"/>
    </xf>
    <xf numFmtId="165" fontId="42" fillId="14" borderId="31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0" fillId="5" borderId="54" xfId="0" applyFill="1" applyBorder="1" applyAlignment="1">
      <alignment horizontal="center"/>
    </xf>
    <xf numFmtId="165" fontId="65" fillId="4" borderId="0" xfId="0" applyFont="1" applyFill="1" applyBorder="1" applyAlignment="1">
      <alignment horizontal="right" vertical="center" wrapText="1"/>
    </xf>
    <xf numFmtId="165" fontId="43" fillId="4" borderId="0" xfId="0" applyFont="1" applyFill="1" applyBorder="1" applyAlignment="1">
      <alignment horizontal="right" vertical="center" wrapText="1"/>
    </xf>
    <xf numFmtId="3" fontId="63" fillId="4" borderId="0" xfId="0" applyNumberFormat="1" applyFont="1" applyFill="1" applyBorder="1" applyAlignment="1">
      <alignment horizontal="right" vertical="center"/>
    </xf>
    <xf numFmtId="165" fontId="14" fillId="7" borderId="69" xfId="0" applyFont="1" applyFill="1" applyBorder="1" applyAlignment="1">
      <alignment horizontal="center"/>
    </xf>
    <xf numFmtId="165" fontId="14" fillId="7" borderId="23" xfId="0" applyFont="1" applyFill="1" applyBorder="1" applyAlignment="1">
      <alignment horizontal="center"/>
    </xf>
    <xf numFmtId="165" fontId="69" fillId="8" borderId="0" xfId="0" applyFont="1" applyFill="1" applyBorder="1" applyAlignment="1">
      <alignment horizontal="left" vertical="top" wrapText="1"/>
    </xf>
    <xf numFmtId="165" fontId="69" fillId="8" borderId="0" xfId="0" applyFont="1" applyFill="1" applyBorder="1" applyAlignment="1">
      <alignment horizontal="left" wrapText="1"/>
    </xf>
    <xf numFmtId="3" fontId="9" fillId="5" borderId="0" xfId="0" applyNumberFormat="1" applyFont="1" applyFill="1" applyBorder="1" applyAlignment="1">
      <alignment horizontal="center" vertical="center"/>
    </xf>
    <xf numFmtId="165" fontId="67" fillId="4" borderId="0" xfId="0" applyFont="1" applyFill="1" applyBorder="1" applyAlignment="1">
      <alignment horizontal="right" vertical="center"/>
    </xf>
    <xf numFmtId="165" fontId="3" fillId="4" borderId="0" xfId="0" applyFont="1" applyFill="1" applyBorder="1" applyAlignment="1">
      <alignment horizontal="left" vertical="center" indent="1"/>
    </xf>
    <xf numFmtId="165" fontId="3" fillId="4" borderId="7" xfId="0" applyFont="1" applyFill="1" applyBorder="1" applyAlignment="1">
      <alignment horizontal="left" vertical="center" indent="1"/>
    </xf>
    <xf numFmtId="165" fontId="3" fillId="4" borderId="0" xfId="0" applyFont="1" applyFill="1" applyBorder="1" applyAlignment="1">
      <alignment horizontal="center"/>
    </xf>
    <xf numFmtId="165" fontId="3" fillId="4" borderId="7" xfId="0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center" vertical="center" wrapText="1"/>
    </xf>
    <xf numFmtId="165" fontId="9" fillId="5" borderId="0" xfId="0" applyFont="1" applyFill="1" applyBorder="1" applyAlignment="1">
      <alignment horizontal="left" vertical="top"/>
    </xf>
    <xf numFmtId="165" fontId="54" fillId="4" borderId="2" xfId="0" applyFont="1" applyFill="1" applyBorder="1" applyAlignment="1">
      <alignment horizontal="center" vertical="center" wrapText="1"/>
    </xf>
    <xf numFmtId="165" fontId="54" fillId="4" borderId="7" xfId="0" applyFont="1" applyFill="1" applyBorder="1" applyAlignment="1">
      <alignment horizontal="center" vertical="center" wrapText="1"/>
    </xf>
    <xf numFmtId="165" fontId="55" fillId="0" borderId="0" xfId="0" applyFont="1" applyBorder="1" applyAlignment="1">
      <alignment horizontal="center" vertical="center" wrapText="1"/>
    </xf>
    <xf numFmtId="165" fontId="55" fillId="0" borderId="7" xfId="0" applyFont="1" applyBorder="1" applyAlignment="1">
      <alignment horizontal="center" vertical="center" wrapText="1"/>
    </xf>
    <xf numFmtId="3" fontId="68" fillId="4" borderId="0" xfId="0" applyNumberFormat="1" applyFont="1" applyFill="1" applyBorder="1" applyAlignment="1">
      <alignment horizontal="center" vertical="center"/>
    </xf>
    <xf numFmtId="3" fontId="4" fillId="4" borderId="0" xfId="0" applyNumberFormat="1" applyFont="1" applyFill="1" applyBorder="1" applyAlignment="1">
      <alignment horizontal="center" vertical="center"/>
    </xf>
    <xf numFmtId="3" fontId="4" fillId="4" borderId="7" xfId="0" applyNumberFormat="1" applyFont="1" applyFill="1" applyBorder="1" applyAlignment="1">
      <alignment horizontal="center" vertical="center"/>
    </xf>
    <xf numFmtId="165" fontId="0" fillId="0" borderId="0" xfId="0" applyBorder="1" applyAlignment="1">
      <alignment horizontal="center" vertical="center"/>
    </xf>
    <xf numFmtId="165" fontId="1" fillId="14" borderId="25" xfId="0" applyFont="1" applyFill="1" applyBorder="1" applyAlignment="1">
      <alignment horizontal="left"/>
    </xf>
    <xf numFmtId="165" fontId="1" fillId="14" borderId="27" xfId="0" applyFont="1" applyFill="1" applyBorder="1" applyAlignment="1">
      <alignment horizontal="left"/>
    </xf>
    <xf numFmtId="165" fontId="40" fillId="14" borderId="36" xfId="0" applyFont="1" applyFill="1" applyBorder="1" applyAlignment="1">
      <alignment horizontal="center"/>
    </xf>
    <xf numFmtId="165" fontId="40" fillId="14" borderId="30" xfId="0" applyFont="1" applyFill="1" applyBorder="1" applyAlignment="1">
      <alignment horizontal="center"/>
    </xf>
    <xf numFmtId="165" fontId="40" fillId="14" borderId="31" xfId="0" applyFont="1" applyFill="1" applyBorder="1" applyAlignment="1">
      <alignment horizontal="center"/>
    </xf>
    <xf numFmtId="165" fontId="1" fillId="14" borderId="33" xfId="0" applyFont="1" applyFill="1" applyBorder="1" applyAlignment="1">
      <alignment horizontal="left"/>
    </xf>
    <xf numFmtId="165" fontId="1" fillId="14" borderId="35" xfId="0" applyFont="1" applyFill="1" applyBorder="1" applyAlignment="1">
      <alignment horizontal="left"/>
    </xf>
    <xf numFmtId="165" fontId="1" fillId="14" borderId="33" xfId="0" applyFont="1" applyFill="1" applyBorder="1" applyAlignment="1">
      <alignment horizontal="center"/>
    </xf>
    <xf numFmtId="165" fontId="1" fillId="14" borderId="35" xfId="0" applyFont="1" applyFill="1" applyBorder="1" applyAlignment="1">
      <alignment horizontal="center"/>
    </xf>
    <xf numFmtId="165" fontId="0" fillId="0" borderId="33" xfId="0" applyBorder="1" applyAlignment="1">
      <alignment horizontal="center"/>
    </xf>
    <xf numFmtId="165" fontId="0" fillId="0" borderId="35" xfId="0" applyBorder="1" applyAlignment="1">
      <alignment horizontal="center"/>
    </xf>
    <xf numFmtId="165" fontId="0" fillId="12" borderId="0" xfId="0" applyFill="1" applyAlignment="1">
      <alignment horizontal="center"/>
    </xf>
  </cellXfs>
  <cellStyles count="3">
    <cellStyle name="Hyperlink" xfId="1" builtinId="8"/>
    <cellStyle name="Normal" xfId="0" builtinId="0"/>
    <cellStyle name="Percent" xfId="2" builtinId="5"/>
  </cellStyles>
  <dxfs count="12"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</dxfs>
  <tableStyles count="0" defaultTableStyle="TableStyleMedium2" defaultPivotStyle="PivotStyleLight16"/>
  <colors>
    <mruColors>
      <color rgb="FFFDF1E7"/>
      <color rgb="FFFF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6.png"/><Relationship Id="rId4" Type="http://schemas.openxmlformats.org/officeDocument/2006/relationships/hyperlink" Target="#Photos!A1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7.png"/><Relationship Id="rId18" Type="http://schemas.openxmlformats.org/officeDocument/2006/relationships/image" Target="../media/image30.svg"/><Relationship Id="rId3" Type="http://schemas.openxmlformats.org/officeDocument/2006/relationships/image" Target="../media/image33.png"/><Relationship Id="rId7" Type="http://schemas.openxmlformats.org/officeDocument/2006/relationships/image" Target="../media/image6.png"/><Relationship Id="rId12" Type="http://schemas.openxmlformats.org/officeDocument/2006/relationships/image" Target="../media/image36.png"/><Relationship Id="rId17" Type="http://schemas.openxmlformats.org/officeDocument/2006/relationships/image" Target="../media/image29.png"/><Relationship Id="rId2" Type="http://schemas.openxmlformats.org/officeDocument/2006/relationships/image" Target="../media/image32.png"/><Relationship Id="rId16" Type="http://schemas.openxmlformats.org/officeDocument/2006/relationships/image" Target="../media/image39.png"/><Relationship Id="rId1" Type="http://schemas.openxmlformats.org/officeDocument/2006/relationships/image" Target="../media/image31.png"/><Relationship Id="rId6" Type="http://schemas.openxmlformats.org/officeDocument/2006/relationships/hyperlink" Target="#Photos!A1"/><Relationship Id="rId11" Type="http://schemas.openxmlformats.org/officeDocument/2006/relationships/hyperlink" Target="#Intro!A1"/><Relationship Id="rId5" Type="http://schemas.openxmlformats.org/officeDocument/2006/relationships/image" Target="../media/image35.png"/><Relationship Id="rId15" Type="http://schemas.openxmlformats.org/officeDocument/2006/relationships/image" Target="../media/image38.png"/><Relationship Id="rId10" Type="http://schemas.openxmlformats.org/officeDocument/2006/relationships/hyperlink" Target="#'Summary '!A1"/><Relationship Id="rId4" Type="http://schemas.openxmlformats.org/officeDocument/2006/relationships/image" Target="../media/image34.png"/><Relationship Id="rId9" Type="http://schemas.openxmlformats.org/officeDocument/2006/relationships/image" Target="../media/image28.svg"/><Relationship Id="rId14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30.svg"/><Relationship Id="rId3" Type="http://schemas.openxmlformats.org/officeDocument/2006/relationships/image" Target="../media/image6.png"/><Relationship Id="rId7" Type="http://schemas.openxmlformats.org/officeDocument/2006/relationships/image" Target="../media/image41.png"/><Relationship Id="rId12" Type="http://schemas.openxmlformats.org/officeDocument/2006/relationships/image" Target="../media/image29.png"/><Relationship Id="rId2" Type="http://schemas.openxmlformats.org/officeDocument/2006/relationships/hyperlink" Target="#Photos!A1"/><Relationship Id="rId1" Type="http://schemas.openxmlformats.org/officeDocument/2006/relationships/image" Target="../media/image40.emf"/><Relationship Id="rId6" Type="http://schemas.openxmlformats.org/officeDocument/2006/relationships/hyperlink" Target="#Summary!A1"/><Relationship Id="rId11" Type="http://schemas.openxmlformats.org/officeDocument/2006/relationships/image" Target="../media/image44.png"/><Relationship Id="rId5" Type="http://schemas.openxmlformats.org/officeDocument/2006/relationships/image" Target="../media/image28.svg"/><Relationship Id="rId15" Type="http://schemas.openxmlformats.org/officeDocument/2006/relationships/image" Target="../media/image37.png"/><Relationship Id="rId10" Type="http://schemas.openxmlformats.org/officeDocument/2006/relationships/image" Target="../media/image39.png"/><Relationship Id="rId4" Type="http://schemas.openxmlformats.org/officeDocument/2006/relationships/image" Target="../media/image27.png"/><Relationship Id="rId9" Type="http://schemas.openxmlformats.org/officeDocument/2006/relationships/image" Target="../media/image43.png"/><Relationship Id="rId14" Type="http://schemas.openxmlformats.org/officeDocument/2006/relationships/hyperlink" Target="#Selection!A1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29.png"/><Relationship Id="rId3" Type="http://schemas.openxmlformats.org/officeDocument/2006/relationships/image" Target="../media/image6.png"/><Relationship Id="rId7" Type="http://schemas.openxmlformats.org/officeDocument/2006/relationships/image" Target="../media/image42.png"/><Relationship Id="rId12" Type="http://schemas.openxmlformats.org/officeDocument/2006/relationships/hyperlink" Target="#Selection!A1"/><Relationship Id="rId2" Type="http://schemas.openxmlformats.org/officeDocument/2006/relationships/hyperlink" Target="#Photos!A1"/><Relationship Id="rId1" Type="http://schemas.openxmlformats.org/officeDocument/2006/relationships/image" Target="../media/image40.emf"/><Relationship Id="rId6" Type="http://schemas.openxmlformats.org/officeDocument/2006/relationships/image" Target="../media/image41.png"/><Relationship Id="rId11" Type="http://schemas.openxmlformats.org/officeDocument/2006/relationships/image" Target="../media/image15.png"/><Relationship Id="rId5" Type="http://schemas.openxmlformats.org/officeDocument/2006/relationships/hyperlink" Target="#Summary!A1"/><Relationship Id="rId15" Type="http://schemas.openxmlformats.org/officeDocument/2006/relationships/image" Target="../media/image37.png"/><Relationship Id="rId10" Type="http://schemas.openxmlformats.org/officeDocument/2006/relationships/image" Target="../media/image44.png"/><Relationship Id="rId4" Type="http://schemas.openxmlformats.org/officeDocument/2006/relationships/hyperlink" Target="#'SAfety risk'!A1"/><Relationship Id="rId9" Type="http://schemas.openxmlformats.org/officeDocument/2006/relationships/image" Target="../media/image39.png"/><Relationship Id="rId14" Type="http://schemas.openxmlformats.org/officeDocument/2006/relationships/image" Target="../media/image30.sv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16.png"/><Relationship Id="rId3" Type="http://schemas.openxmlformats.org/officeDocument/2006/relationships/image" Target="../media/image6.png"/><Relationship Id="rId7" Type="http://schemas.openxmlformats.org/officeDocument/2006/relationships/image" Target="../media/image43.png"/><Relationship Id="rId12" Type="http://schemas.openxmlformats.org/officeDocument/2006/relationships/image" Target="../media/image30.svg"/><Relationship Id="rId2" Type="http://schemas.openxmlformats.org/officeDocument/2006/relationships/hyperlink" Target="#Photos!A1"/><Relationship Id="rId1" Type="http://schemas.openxmlformats.org/officeDocument/2006/relationships/image" Target="../media/image40.emf"/><Relationship Id="rId6" Type="http://schemas.openxmlformats.org/officeDocument/2006/relationships/image" Target="../media/image42.png"/><Relationship Id="rId11" Type="http://schemas.openxmlformats.org/officeDocument/2006/relationships/image" Target="../media/image29.png"/><Relationship Id="rId5" Type="http://schemas.openxmlformats.org/officeDocument/2006/relationships/image" Target="../media/image41.png"/><Relationship Id="rId10" Type="http://schemas.openxmlformats.org/officeDocument/2006/relationships/hyperlink" Target="#Selection!A1"/><Relationship Id="rId4" Type="http://schemas.openxmlformats.org/officeDocument/2006/relationships/hyperlink" Target="#Summary!A1"/><Relationship Id="rId9" Type="http://schemas.openxmlformats.org/officeDocument/2006/relationships/image" Target="../media/image44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1.png"/><Relationship Id="rId18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12" Type="http://schemas.openxmlformats.org/officeDocument/2006/relationships/image" Target="../media/image37.png"/><Relationship Id="rId17" Type="http://schemas.openxmlformats.org/officeDocument/2006/relationships/image" Target="../media/image29.png"/><Relationship Id="rId2" Type="http://schemas.openxmlformats.org/officeDocument/2006/relationships/image" Target="../media/image6.png"/><Relationship Id="rId16" Type="http://schemas.openxmlformats.org/officeDocument/2006/relationships/hyperlink" Target="#Selection!A1"/><Relationship Id="rId1" Type="http://schemas.openxmlformats.org/officeDocument/2006/relationships/hyperlink" Target="#Photos!A1"/><Relationship Id="rId6" Type="http://schemas.openxmlformats.org/officeDocument/2006/relationships/image" Target="../media/image42.png"/><Relationship Id="rId11" Type="http://schemas.openxmlformats.org/officeDocument/2006/relationships/hyperlink" Target="#'Summary '!A1"/><Relationship Id="rId5" Type="http://schemas.openxmlformats.org/officeDocument/2006/relationships/hyperlink" Target="#Summary!A1"/><Relationship Id="rId15" Type="http://schemas.openxmlformats.org/officeDocument/2006/relationships/image" Target="../media/image39.png"/><Relationship Id="rId10" Type="http://schemas.openxmlformats.org/officeDocument/2006/relationships/image" Target="../media/image35.png"/><Relationship Id="rId19" Type="http://schemas.openxmlformats.org/officeDocument/2006/relationships/image" Target="../media/image44.png"/><Relationship Id="rId4" Type="http://schemas.openxmlformats.org/officeDocument/2006/relationships/image" Target="../media/image28.svg"/><Relationship Id="rId9" Type="http://schemas.openxmlformats.org/officeDocument/2006/relationships/image" Target="../media/image34.png"/><Relationship Id="rId14" Type="http://schemas.openxmlformats.org/officeDocument/2006/relationships/image" Target="../media/image38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hyperlink" Target="#Selection!A1"/><Relationship Id="rId3" Type="http://schemas.openxmlformats.org/officeDocument/2006/relationships/image" Target="../media/image27.png"/><Relationship Id="rId7" Type="http://schemas.openxmlformats.org/officeDocument/2006/relationships/image" Target="../media/image37.png"/><Relationship Id="rId12" Type="http://schemas.openxmlformats.org/officeDocument/2006/relationships/image" Target="../media/image35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36.png"/><Relationship Id="rId11" Type="http://schemas.openxmlformats.org/officeDocument/2006/relationships/image" Target="../media/image34.png"/><Relationship Id="rId5" Type="http://schemas.openxmlformats.org/officeDocument/2006/relationships/hyperlink" Target="#'Summary '!A1"/><Relationship Id="rId15" Type="http://schemas.openxmlformats.org/officeDocument/2006/relationships/image" Target="../media/image30.svg"/><Relationship Id="rId10" Type="http://schemas.openxmlformats.org/officeDocument/2006/relationships/image" Target="../media/image33.png"/><Relationship Id="rId4" Type="http://schemas.openxmlformats.org/officeDocument/2006/relationships/image" Target="../media/image28.svg"/><Relationship Id="rId9" Type="http://schemas.openxmlformats.org/officeDocument/2006/relationships/image" Target="../media/image31.png"/><Relationship Id="rId14" Type="http://schemas.openxmlformats.org/officeDocument/2006/relationships/image" Target="../media/image29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30.svg"/><Relationship Id="rId3" Type="http://schemas.openxmlformats.org/officeDocument/2006/relationships/image" Target="../media/image6.png"/><Relationship Id="rId7" Type="http://schemas.openxmlformats.org/officeDocument/2006/relationships/image" Target="../media/image41.png"/><Relationship Id="rId12" Type="http://schemas.openxmlformats.org/officeDocument/2006/relationships/image" Target="../media/image29.png"/><Relationship Id="rId2" Type="http://schemas.openxmlformats.org/officeDocument/2006/relationships/hyperlink" Target="#Photos!A1"/><Relationship Id="rId1" Type="http://schemas.openxmlformats.org/officeDocument/2006/relationships/image" Target="../media/image40.emf"/><Relationship Id="rId6" Type="http://schemas.openxmlformats.org/officeDocument/2006/relationships/hyperlink" Target="#Summary!A1"/><Relationship Id="rId11" Type="http://schemas.openxmlformats.org/officeDocument/2006/relationships/hyperlink" Target="#Selection!A1"/><Relationship Id="rId5" Type="http://schemas.openxmlformats.org/officeDocument/2006/relationships/image" Target="../media/image28.svg"/><Relationship Id="rId10" Type="http://schemas.openxmlformats.org/officeDocument/2006/relationships/image" Target="../media/image44.png"/><Relationship Id="rId4" Type="http://schemas.openxmlformats.org/officeDocument/2006/relationships/image" Target="../media/image27.png"/><Relationship Id="rId9" Type="http://schemas.openxmlformats.org/officeDocument/2006/relationships/image" Target="../media/image43.png"/><Relationship Id="rId14" Type="http://schemas.openxmlformats.org/officeDocument/2006/relationships/image" Target="../media/image37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1.png"/><Relationship Id="rId12" Type="http://schemas.openxmlformats.org/officeDocument/2006/relationships/image" Target="../media/image29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37.png"/><Relationship Id="rId11" Type="http://schemas.openxmlformats.org/officeDocument/2006/relationships/image" Target="../media/image35.png"/><Relationship Id="rId5" Type="http://schemas.openxmlformats.org/officeDocument/2006/relationships/hyperlink" Target="#'Summary '!A1"/><Relationship Id="rId10" Type="http://schemas.openxmlformats.org/officeDocument/2006/relationships/image" Target="../media/image34.png"/><Relationship Id="rId4" Type="http://schemas.openxmlformats.org/officeDocument/2006/relationships/image" Target="../media/image28.svg"/><Relationship Id="rId9" Type="http://schemas.openxmlformats.org/officeDocument/2006/relationships/image" Target="../media/image33.png"/><Relationship Id="rId14" Type="http://schemas.openxmlformats.org/officeDocument/2006/relationships/hyperlink" Target="#Selection!A1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29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1.png"/><Relationship Id="rId5" Type="http://schemas.openxmlformats.org/officeDocument/2006/relationships/hyperlink" Target="#'Summary '!A1"/><Relationship Id="rId4" Type="http://schemas.openxmlformats.org/officeDocument/2006/relationships/image" Target="../media/image28.svg"/><Relationship Id="rId9" Type="http://schemas.openxmlformats.org/officeDocument/2006/relationships/hyperlink" Target="#Intro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sv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svg"/><Relationship Id="rId4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31.png"/><Relationship Id="rId18" Type="http://schemas.openxmlformats.org/officeDocument/2006/relationships/image" Target="../media/image6.png"/><Relationship Id="rId26" Type="http://schemas.openxmlformats.org/officeDocument/2006/relationships/image" Target="../media/image39.png"/><Relationship Id="rId3" Type="http://schemas.openxmlformats.org/officeDocument/2006/relationships/image" Target="../media/image12.png"/><Relationship Id="rId21" Type="http://schemas.openxmlformats.org/officeDocument/2006/relationships/hyperlink" Target="#'Summary '!A1"/><Relationship Id="rId7" Type="http://schemas.openxmlformats.org/officeDocument/2006/relationships/image" Target="../media/image15.png"/><Relationship Id="rId12" Type="http://schemas.openxmlformats.org/officeDocument/2006/relationships/image" Target="../media/image24.png"/><Relationship Id="rId17" Type="http://schemas.openxmlformats.org/officeDocument/2006/relationships/hyperlink" Target="#Photos!A1"/><Relationship Id="rId25" Type="http://schemas.openxmlformats.org/officeDocument/2006/relationships/image" Target="../media/image38.png"/><Relationship Id="rId2" Type="http://schemas.openxmlformats.org/officeDocument/2006/relationships/image" Target="../media/image11.png"/><Relationship Id="rId16" Type="http://schemas.openxmlformats.org/officeDocument/2006/relationships/image" Target="../media/image35.png"/><Relationship Id="rId20" Type="http://schemas.openxmlformats.org/officeDocument/2006/relationships/image" Target="../media/image28.svg"/><Relationship Id="rId1" Type="http://schemas.openxmlformats.org/officeDocument/2006/relationships/hyperlink" Target="#'N-I surfaces'!A1"/><Relationship Id="rId6" Type="http://schemas.openxmlformats.org/officeDocument/2006/relationships/image" Target="../media/image1.png"/><Relationship Id="rId11" Type="http://schemas.openxmlformats.org/officeDocument/2006/relationships/image" Target="../media/image21.png"/><Relationship Id="rId24" Type="http://schemas.openxmlformats.org/officeDocument/2006/relationships/image" Target="../media/image37.png"/><Relationship Id="rId5" Type="http://schemas.openxmlformats.org/officeDocument/2006/relationships/image" Target="../media/image13.png"/><Relationship Id="rId15" Type="http://schemas.openxmlformats.org/officeDocument/2006/relationships/image" Target="../media/image34.png"/><Relationship Id="rId23" Type="http://schemas.openxmlformats.org/officeDocument/2006/relationships/image" Target="../media/image36.png"/><Relationship Id="rId28" Type="http://schemas.openxmlformats.org/officeDocument/2006/relationships/image" Target="../media/image30.svg"/><Relationship Id="rId10" Type="http://schemas.openxmlformats.org/officeDocument/2006/relationships/image" Target="../media/image19.png"/><Relationship Id="rId19" Type="http://schemas.openxmlformats.org/officeDocument/2006/relationships/image" Target="../media/image27.png"/><Relationship Id="rId4" Type="http://schemas.openxmlformats.org/officeDocument/2006/relationships/image" Target="../media/image45.png"/><Relationship Id="rId9" Type="http://schemas.openxmlformats.org/officeDocument/2006/relationships/image" Target="../media/image17.png"/><Relationship Id="rId14" Type="http://schemas.openxmlformats.org/officeDocument/2006/relationships/image" Target="../media/image33.png"/><Relationship Id="rId22" Type="http://schemas.openxmlformats.org/officeDocument/2006/relationships/hyperlink" Target="#Intro!A1"/><Relationship Id="rId27" Type="http://schemas.openxmlformats.org/officeDocument/2006/relationships/image" Target="../media/image29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29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1.png"/><Relationship Id="rId5" Type="http://schemas.openxmlformats.org/officeDocument/2006/relationships/hyperlink" Target="#'Summary '!A1"/><Relationship Id="rId4" Type="http://schemas.openxmlformats.org/officeDocument/2006/relationships/image" Target="../media/image28.svg"/><Relationship Id="rId9" Type="http://schemas.openxmlformats.org/officeDocument/2006/relationships/hyperlink" Target="#Intro!A1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6.png"/><Relationship Id="rId4" Type="http://schemas.openxmlformats.org/officeDocument/2006/relationships/hyperlink" Target="#Photos!A1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hyperlink" Target="http://www.eiif.org/?Certified%20engineers/67" TargetMode="External"/><Relationship Id="rId7" Type="http://schemas.openxmlformats.org/officeDocument/2006/relationships/image" Target="../media/image3.sv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2.png"/><Relationship Id="rId5" Type="http://schemas.openxmlformats.org/officeDocument/2006/relationships/image" Target="../media/image5.sv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6.png"/><Relationship Id="rId1" Type="http://schemas.openxmlformats.org/officeDocument/2006/relationships/image" Target="../media/image8.png"/><Relationship Id="rId4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hyperlink" Target="#Flange!A1"/><Relationship Id="rId13" Type="http://schemas.openxmlformats.org/officeDocument/2006/relationships/image" Target="../media/image17.png"/><Relationship Id="rId18" Type="http://schemas.openxmlformats.org/officeDocument/2006/relationships/hyperlink" Target="#'Cold energy'!A1"/><Relationship Id="rId26" Type="http://schemas.openxmlformats.org/officeDocument/2006/relationships/image" Target="../media/image24.png"/><Relationship Id="rId3" Type="http://schemas.openxmlformats.org/officeDocument/2006/relationships/hyperlink" Target="#Pipe!A1"/><Relationship Id="rId21" Type="http://schemas.openxmlformats.org/officeDocument/2006/relationships/image" Target="../media/image21.png"/><Relationship Id="rId7" Type="http://schemas.openxmlformats.org/officeDocument/2006/relationships/image" Target="../media/image14.png"/><Relationship Id="rId12" Type="http://schemas.openxmlformats.org/officeDocument/2006/relationships/hyperlink" Target="#'I Pipe'!A1"/><Relationship Id="rId17" Type="http://schemas.openxmlformats.org/officeDocument/2006/relationships/image" Target="../media/image19.png"/><Relationship Id="rId25" Type="http://schemas.openxmlformats.org/officeDocument/2006/relationships/hyperlink" Target="#'Others insulated'!A1"/><Relationship Id="rId2" Type="http://schemas.openxmlformats.org/officeDocument/2006/relationships/image" Target="../media/image11.png"/><Relationship Id="rId16" Type="http://schemas.openxmlformats.org/officeDocument/2006/relationships/hyperlink" Target="#'I Surface'!A1"/><Relationship Id="rId20" Type="http://schemas.openxmlformats.org/officeDocument/2006/relationships/hyperlink" Target="#Others!A1"/><Relationship Id="rId1" Type="http://schemas.openxmlformats.org/officeDocument/2006/relationships/hyperlink" Target="#Surface!A1"/><Relationship Id="rId6" Type="http://schemas.openxmlformats.org/officeDocument/2006/relationships/image" Target="../media/image1.png"/><Relationship Id="rId11" Type="http://schemas.openxmlformats.org/officeDocument/2006/relationships/image" Target="../media/image16.png"/><Relationship Id="rId24" Type="http://schemas.openxmlformats.org/officeDocument/2006/relationships/image" Target="../media/image23.png"/><Relationship Id="rId5" Type="http://schemas.openxmlformats.org/officeDocument/2006/relationships/image" Target="../media/image13.png"/><Relationship Id="rId15" Type="http://schemas.openxmlformats.org/officeDocument/2006/relationships/image" Target="../media/image18.png"/><Relationship Id="rId23" Type="http://schemas.openxmlformats.org/officeDocument/2006/relationships/image" Target="../media/image22.png"/><Relationship Id="rId10" Type="http://schemas.openxmlformats.org/officeDocument/2006/relationships/hyperlink" Target="#Valve!A1"/><Relationship Id="rId19" Type="http://schemas.openxmlformats.org/officeDocument/2006/relationships/image" Target="../media/image20.png"/><Relationship Id="rId4" Type="http://schemas.openxmlformats.org/officeDocument/2006/relationships/image" Target="../media/image12.png"/><Relationship Id="rId9" Type="http://schemas.openxmlformats.org/officeDocument/2006/relationships/image" Target="../media/image15.png"/><Relationship Id="rId14" Type="http://schemas.openxmlformats.org/officeDocument/2006/relationships/hyperlink" Target="#Cladding!A1"/><Relationship Id="rId22" Type="http://schemas.openxmlformats.org/officeDocument/2006/relationships/hyperlink" Target="#'Wet Ice'!A1"/><Relationship Id="rId27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1.png"/><Relationship Id="rId4" Type="http://schemas.openxmlformats.org/officeDocument/2006/relationships/image" Target="../media/image28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svg"/><Relationship Id="rId2" Type="http://schemas.openxmlformats.org/officeDocument/2006/relationships/image" Target="../media/image27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76200</xdr:rowOff>
    </xdr:from>
    <xdr:to>
      <xdr:col>10</xdr:col>
      <xdr:colOff>106680</xdr:colOff>
      <xdr:row>3</xdr:row>
      <xdr:rowOff>83820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6F6EE98-50E8-4F60-8F46-592DC905A776}"/>
            </a:ext>
          </a:extLst>
        </xdr:cNvPr>
        <xdr:cNvSpPr/>
      </xdr:nvSpPr>
      <xdr:spPr>
        <a:xfrm>
          <a:off x="114300" y="228600"/>
          <a:ext cx="25450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160020</xdr:colOff>
      <xdr:row>1</xdr:row>
      <xdr:rowOff>76200</xdr:rowOff>
    </xdr:from>
    <xdr:to>
      <xdr:col>18</xdr:col>
      <xdr:colOff>144780</xdr:colOff>
      <xdr:row>3</xdr:row>
      <xdr:rowOff>83820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27F37B4-1E16-4E0C-BE77-4E8AD1CC5235}"/>
            </a:ext>
          </a:extLst>
        </xdr:cNvPr>
        <xdr:cNvSpPr/>
      </xdr:nvSpPr>
      <xdr:spPr>
        <a:xfrm>
          <a:off x="27127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213360</xdr:colOff>
      <xdr:row>1</xdr:row>
      <xdr:rowOff>76200</xdr:rowOff>
    </xdr:from>
    <xdr:to>
      <xdr:col>28</xdr:col>
      <xdr:colOff>45720</xdr:colOff>
      <xdr:row>3</xdr:row>
      <xdr:rowOff>83820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7E5BE15-EE4A-4BC7-9D78-AE28288694C0}"/>
            </a:ext>
          </a:extLst>
        </xdr:cNvPr>
        <xdr:cNvSpPr/>
      </xdr:nvSpPr>
      <xdr:spPr>
        <a:xfrm>
          <a:off x="48463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29</xdr:col>
      <xdr:colOff>327660</xdr:colOff>
      <xdr:row>1</xdr:row>
      <xdr:rowOff>68580</xdr:rowOff>
    </xdr:from>
    <xdr:to>
      <xdr:col>39</xdr:col>
      <xdr:colOff>137160</xdr:colOff>
      <xdr:row>3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2D3A8B2-D9DE-4DF9-B0D7-E9DDB7CDA378}"/>
            </a:ext>
          </a:extLst>
        </xdr:cNvPr>
        <xdr:cNvSpPr/>
      </xdr:nvSpPr>
      <xdr:spPr>
        <a:xfrm>
          <a:off x="7414260" y="220980"/>
          <a:ext cx="23545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40</xdr:col>
      <xdr:colOff>129540</xdr:colOff>
      <xdr:row>1</xdr:row>
      <xdr:rowOff>76200</xdr:rowOff>
    </xdr:from>
    <xdr:to>
      <xdr:col>47</xdr:col>
      <xdr:colOff>236220</xdr:colOff>
      <xdr:row>3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F3EEAF-EC87-453D-8AE2-8615FE14C81F}"/>
            </a:ext>
          </a:extLst>
        </xdr:cNvPr>
        <xdr:cNvSpPr/>
      </xdr:nvSpPr>
      <xdr:spPr>
        <a:xfrm>
          <a:off x="10157460" y="228600"/>
          <a:ext cx="205740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B8803872-82AD-47E8-8509-24E196ABC45B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99060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9CB8AD2-6BA2-461D-83B9-6FB085688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0198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14</xdr:row>
      <xdr:rowOff>170757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8C4B031-2A5D-43B8-95F1-25486C21A3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0306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80DE4473-F499-48D0-AB88-180C10AD9FD0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basic</a:t>
          </a:r>
          <a:r>
            <a:rPr lang="en-GB" sz="1100" baseline="0"/>
            <a:t> report </a:t>
          </a:r>
          <a:endParaRPr lang="en-GB" sz="1100"/>
        </a:p>
      </xdr:txBody>
    </xdr:sp>
    <xdr:clientData/>
  </xdr:twoCellAnchor>
  <xdr:twoCellAnchor>
    <xdr:from>
      <xdr:col>17</xdr:col>
      <xdr:colOff>68580</xdr:colOff>
      <xdr:row>1</xdr:row>
      <xdr:rowOff>114300</xdr:rowOff>
    </xdr:from>
    <xdr:to>
      <xdr:col>18</xdr:col>
      <xdr:colOff>320040</xdr:colOff>
      <xdr:row>3</xdr:row>
      <xdr:rowOff>38100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69523FC-A3BC-4309-8FB0-641A642F588B}"/>
            </a:ext>
          </a:extLst>
        </xdr:cNvPr>
        <xdr:cNvSpPr/>
      </xdr:nvSpPr>
      <xdr:spPr>
        <a:xfrm>
          <a:off x="8976360" y="29718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9D0FD8F-3DFA-46BE-A4C8-B071DE91DB08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56B8BCD9-7FB7-48BA-B355-4B420DFAB484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3</xdr:col>
      <xdr:colOff>175952</xdr:colOff>
      <xdr:row>4</xdr:row>
      <xdr:rowOff>72044</xdr:rowOff>
    </xdr:from>
    <xdr:to>
      <xdr:col>18</xdr:col>
      <xdr:colOff>380999</xdr:colOff>
      <xdr:row>7</xdr:row>
      <xdr:rowOff>7620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1D5E5CCC-D35A-4D79-989D-D1FDA925E8AA}"/>
            </a:ext>
          </a:extLst>
        </xdr:cNvPr>
        <xdr:cNvCxnSpPr/>
      </xdr:nvCxnSpPr>
      <xdr:spPr>
        <a:xfrm flipH="1">
          <a:off x="1935479" y="750917"/>
          <a:ext cx="9065029" cy="517467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220980</xdr:colOff>
      <xdr:row>14</xdr:row>
      <xdr:rowOff>114300</xdr:rowOff>
    </xdr:from>
    <xdr:to>
      <xdr:col>4</xdr:col>
      <xdr:colOff>205740</xdr:colOff>
      <xdr:row>36</xdr:row>
      <xdr:rowOff>137160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8572807-41B4-4480-914F-C63A73C70AA8}"/>
            </a:ext>
          </a:extLst>
        </xdr:cNvPr>
        <xdr:cNvCxnSpPr/>
      </xdr:nvCxnSpPr>
      <xdr:spPr>
        <a:xfrm flipV="1">
          <a:off x="220980" y="2689860"/>
          <a:ext cx="2339340" cy="3802380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38101</xdr:colOff>
      <xdr:row>42</xdr:row>
      <xdr:rowOff>243842</xdr:rowOff>
    </xdr:from>
    <xdr:to>
      <xdr:col>10</xdr:col>
      <xdr:colOff>533400</xdr:colOff>
      <xdr:row>42</xdr:row>
      <xdr:rowOff>696084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E8F0D3F-30CE-4A38-AFD2-254BB9616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4561" y="7696202"/>
          <a:ext cx="495299" cy="45224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42</xdr:row>
      <xdr:rowOff>12896</xdr:rowOff>
    </xdr:from>
    <xdr:to>
      <xdr:col>10</xdr:col>
      <xdr:colOff>510540</xdr:colOff>
      <xdr:row>42</xdr:row>
      <xdr:rowOff>334426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25D1595-E772-493C-BAD5-50EA5CEACB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833" b="30717"/>
        <a:stretch/>
      </xdr:blipFill>
      <xdr:spPr>
        <a:xfrm>
          <a:off x="6004560" y="7465256"/>
          <a:ext cx="472440" cy="321530"/>
        </a:xfrm>
        <a:prstGeom prst="rect">
          <a:avLst/>
        </a:prstGeom>
      </xdr:spPr>
    </xdr:pic>
    <xdr:clientData/>
  </xdr:twoCellAnchor>
  <xdr:twoCellAnchor editAs="oneCell">
    <xdr:from>
      <xdr:col>9</xdr:col>
      <xdr:colOff>42381</xdr:colOff>
      <xdr:row>42</xdr:row>
      <xdr:rowOff>22860</xdr:rowOff>
    </xdr:from>
    <xdr:to>
      <xdr:col>10</xdr:col>
      <xdr:colOff>7622</xdr:colOff>
      <xdr:row>42</xdr:row>
      <xdr:rowOff>1120139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DE69580-ADE7-46BC-B48D-3AB99A984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5141832" y="7740249"/>
          <a:ext cx="10972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228604</xdr:colOff>
      <xdr:row>41</xdr:row>
      <xdr:rowOff>7618</xdr:rowOff>
    </xdr:from>
    <xdr:to>
      <xdr:col>12</xdr:col>
      <xdr:colOff>579126</xdr:colOff>
      <xdr:row>42</xdr:row>
      <xdr:rowOff>1196587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D6338F2-D635-4626-B794-CD03DA035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881" b="71395"/>
        <a:stretch/>
      </xdr:blipFill>
      <xdr:spPr>
        <a:xfrm rot="16200000">
          <a:off x="6758820" y="7787762"/>
          <a:ext cx="137184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156215</xdr:colOff>
      <xdr:row>42</xdr:row>
      <xdr:rowOff>91442</xdr:rowOff>
    </xdr:from>
    <xdr:to>
      <xdr:col>11</xdr:col>
      <xdr:colOff>411484</xdr:colOff>
      <xdr:row>42</xdr:row>
      <xdr:rowOff>1154432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EB339E-8144-4B27-BF17-2C0CD34FF8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3193" t="6336" r="42544" b="83935"/>
        <a:stretch/>
      </xdr:blipFill>
      <xdr:spPr>
        <a:xfrm rot="16200000">
          <a:off x="6320795" y="7947662"/>
          <a:ext cx="1062990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114301</xdr:rowOff>
    </xdr:to>
    <xdr:pic>
      <xdr:nvPicPr>
        <xdr:cNvPr id="35" name="Picture 34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497B8EB-884D-4E8F-B44A-8C84B78C4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7" name="Rectangle: Top Corners One Rounded and One Snipped 36">
          <a:extLst>
            <a:ext uri="{FF2B5EF4-FFF2-40B4-BE49-F238E27FC236}">
              <a16:creationId xmlns:a16="http://schemas.microsoft.com/office/drawing/2014/main" id="{168E5904-913C-4DFF-9E8D-05580F0A38A8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22</xdr:row>
      <xdr:rowOff>106680</xdr:rowOff>
    </xdr:from>
    <xdr:to>
      <xdr:col>10</xdr:col>
      <xdr:colOff>466182</xdr:colOff>
      <xdr:row>24</xdr:row>
      <xdr:rowOff>91440</xdr:rowOff>
    </xdr:to>
    <xdr:sp macro="" textlink="">
      <xdr:nvSpPr>
        <xdr:cNvPr id="38" name="Flowchart: Terminator 37">
          <a:extLst>
            <a:ext uri="{FF2B5EF4-FFF2-40B4-BE49-F238E27FC236}">
              <a16:creationId xmlns:a16="http://schemas.microsoft.com/office/drawing/2014/main" id="{DDAF9AE9-B49C-4537-A217-613716523370}"/>
            </a:ext>
          </a:extLst>
        </xdr:cNvPr>
        <xdr:cNvSpPr/>
      </xdr:nvSpPr>
      <xdr:spPr>
        <a:xfrm>
          <a:off x="4282640" y="40843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19</xdr:row>
      <xdr:rowOff>91440</xdr:rowOff>
    </xdr:from>
    <xdr:to>
      <xdr:col>10</xdr:col>
      <xdr:colOff>449580</xdr:colOff>
      <xdr:row>21</xdr:row>
      <xdr:rowOff>91440</xdr:rowOff>
    </xdr:to>
    <xdr:sp macro="" textlink="">
      <xdr:nvSpPr>
        <xdr:cNvPr id="39" name="Flowchart: Terminator 38">
          <a:extLst>
            <a:ext uri="{FF2B5EF4-FFF2-40B4-BE49-F238E27FC236}">
              <a16:creationId xmlns:a16="http://schemas.microsoft.com/office/drawing/2014/main" id="{2BD910A4-A99A-4A4F-A0A6-483677938A06}"/>
            </a:ext>
          </a:extLst>
        </xdr:cNvPr>
        <xdr:cNvSpPr/>
      </xdr:nvSpPr>
      <xdr:spPr>
        <a:xfrm>
          <a:off x="4258544" y="349758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16</xdr:row>
      <xdr:rowOff>91440</xdr:rowOff>
    </xdr:from>
    <xdr:to>
      <xdr:col>10</xdr:col>
      <xdr:colOff>413393</xdr:colOff>
      <xdr:row>18</xdr:row>
      <xdr:rowOff>83820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90D1878E-9A40-4035-85DB-46C5616EA2D6}"/>
            </a:ext>
          </a:extLst>
        </xdr:cNvPr>
        <xdr:cNvSpPr/>
      </xdr:nvSpPr>
      <xdr:spPr>
        <a:xfrm>
          <a:off x="4274820" y="29260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13</xdr:row>
      <xdr:rowOff>38100</xdr:rowOff>
    </xdr:from>
    <xdr:to>
      <xdr:col>10</xdr:col>
      <xdr:colOff>436253</xdr:colOff>
      <xdr:row>15</xdr:row>
      <xdr:rowOff>30480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28252B1A-1388-4FB2-8775-14F37389A069}"/>
            </a:ext>
          </a:extLst>
        </xdr:cNvPr>
        <xdr:cNvSpPr/>
      </xdr:nvSpPr>
      <xdr:spPr>
        <a:xfrm>
          <a:off x="4297680" y="230124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114300</xdr:rowOff>
    </xdr:to>
    <xdr:pic>
      <xdr:nvPicPr>
        <xdr:cNvPr id="42" name="Graphic 41" descr="Open Folder">
          <a:extLst>
            <a:ext uri="{FF2B5EF4-FFF2-40B4-BE49-F238E27FC236}">
              <a16:creationId xmlns:a16="http://schemas.microsoft.com/office/drawing/2014/main" id="{291D5570-C780-422F-B524-3DD84959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3" name="Flowchart: Terminator 42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E9A3D7-FD0B-46A1-922F-36B09CB8CF48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0</xdr:row>
      <xdr:rowOff>91440</xdr:rowOff>
    </xdr:from>
    <xdr:to>
      <xdr:col>16</xdr:col>
      <xdr:colOff>160020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4B1C4268-D876-4AFB-BC8B-A9FB9A75C525}"/>
            </a:ext>
          </a:extLst>
        </xdr:cNvPr>
        <xdr:cNvSpPr/>
      </xdr:nvSpPr>
      <xdr:spPr>
        <a:xfrm>
          <a:off x="883920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12</xdr:row>
      <xdr:rowOff>15240</xdr:rowOff>
    </xdr:from>
    <xdr:to>
      <xdr:col>4</xdr:col>
      <xdr:colOff>477353</xdr:colOff>
      <xdr:row>13</xdr:row>
      <xdr:rowOff>175260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0EA57AD-5BDF-4A47-960B-FDE252DCC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6" name="Cube 5">
          <a:extLst>
            <a:ext uri="{FF2B5EF4-FFF2-40B4-BE49-F238E27FC236}">
              <a16:creationId xmlns:a16="http://schemas.microsoft.com/office/drawing/2014/main" id="{6DA71E63-28EE-4D8B-9D51-875AD7194704}"/>
            </a:ext>
          </a:extLst>
        </xdr:cNvPr>
        <xdr:cNvSpPr/>
      </xdr:nvSpPr>
      <xdr:spPr>
        <a:xfrm>
          <a:off x="944880" y="7147560"/>
          <a:ext cx="274320" cy="388620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40179</xdr:colOff>
      <xdr:row>24</xdr:row>
      <xdr:rowOff>1</xdr:rowOff>
    </xdr:from>
    <xdr:to>
      <xdr:col>1</xdr:col>
      <xdr:colOff>329739</xdr:colOff>
      <xdr:row>25</xdr:row>
      <xdr:rowOff>158021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A869E0-671F-4249-94E6-BC386BB60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5870" y="4558146"/>
          <a:ext cx="289560" cy="351984"/>
        </a:xfrm>
        <a:prstGeom prst="rect">
          <a:avLst/>
        </a:prstGeom>
      </xdr:spPr>
    </xdr:pic>
    <xdr:clientData/>
  </xdr:twoCellAnchor>
  <xdr:twoCellAnchor>
    <xdr:from>
      <xdr:col>1</xdr:col>
      <xdr:colOff>332509</xdr:colOff>
      <xdr:row>26</xdr:row>
      <xdr:rowOff>41563</xdr:rowOff>
    </xdr:from>
    <xdr:to>
      <xdr:col>2</xdr:col>
      <xdr:colOff>441960</xdr:colOff>
      <xdr:row>29</xdr:row>
      <xdr:rowOff>30480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1F2817C-9A1C-47A2-9A0B-264B692F8173}"/>
            </a:ext>
          </a:extLst>
        </xdr:cNvPr>
        <xdr:cNvCxnSpPr/>
      </xdr:nvCxnSpPr>
      <xdr:spPr>
        <a:xfrm flipH="1" flipV="1">
          <a:off x="838200" y="4987636"/>
          <a:ext cx="469669" cy="57773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222101</xdr:colOff>
      <xdr:row>27</xdr:row>
      <xdr:rowOff>81735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FB552CA-1593-408F-944A-82DAF6FA5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48</xdr:row>
      <xdr:rowOff>114300</xdr:rowOff>
    </xdr:from>
    <xdr:to>
      <xdr:col>13</xdr:col>
      <xdr:colOff>62635</xdr:colOff>
      <xdr:row>50</xdr:row>
      <xdr:rowOff>144781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334EE64-2A90-4BC4-A101-114C64EDD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01840" y="1032510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52</xdr:row>
      <xdr:rowOff>83820</xdr:rowOff>
    </xdr:from>
    <xdr:to>
      <xdr:col>11</xdr:col>
      <xdr:colOff>387774</xdr:colOff>
      <xdr:row>54</xdr:row>
      <xdr:rowOff>83820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412661-55C2-4384-8A2F-8408D8077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03520" y="10904220"/>
          <a:ext cx="1652694" cy="365760"/>
        </a:xfrm>
        <a:prstGeom prst="rect">
          <a:avLst/>
        </a:prstGeom>
      </xdr:spPr>
    </xdr:pic>
    <xdr:clientData/>
  </xdr:twoCellAnchor>
  <xdr:twoCellAnchor>
    <xdr:from>
      <xdr:col>9</xdr:col>
      <xdr:colOff>408709</xdr:colOff>
      <xdr:row>49</xdr:row>
      <xdr:rowOff>0</xdr:rowOff>
    </xdr:from>
    <xdr:to>
      <xdr:col>19</xdr:col>
      <xdr:colOff>487681</xdr:colOff>
      <xdr:row>52</xdr:row>
      <xdr:rowOff>55418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CD3777-D3A5-4740-8DDC-73EC347B247E}"/>
            </a:ext>
          </a:extLst>
        </xdr:cNvPr>
        <xdr:cNvCxnSpPr/>
      </xdr:nvCxnSpPr>
      <xdr:spPr>
        <a:xfrm flipH="1">
          <a:off x="5784273" y="10702636"/>
          <a:ext cx="5710844" cy="6719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548640</xdr:colOff>
      <xdr:row>38</xdr:row>
      <xdr:rowOff>58663</xdr:rowOff>
    </xdr:from>
    <xdr:to>
      <xdr:col>4</xdr:col>
      <xdr:colOff>212667</xdr:colOff>
      <xdr:row>39</xdr:row>
      <xdr:rowOff>132092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ED57AEB5-45A5-4134-808D-BAA197489665}"/>
            </a:ext>
          </a:extLst>
        </xdr:cNvPr>
        <xdr:cNvSpPr/>
      </xdr:nvSpPr>
      <xdr:spPr>
        <a:xfrm>
          <a:off x="2308167" y="7214536"/>
          <a:ext cx="266700" cy="253538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531321</xdr:colOff>
      <xdr:row>38</xdr:row>
      <xdr:rowOff>128338</xdr:rowOff>
    </xdr:from>
    <xdr:to>
      <xdr:col>6</xdr:col>
      <xdr:colOff>455122</xdr:colOff>
      <xdr:row>40</xdr:row>
      <xdr:rowOff>121920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55F46760-7725-4ED1-AB11-4DB15178024C}"/>
            </a:ext>
          </a:extLst>
        </xdr:cNvPr>
        <xdr:cNvGrpSpPr/>
      </xdr:nvGrpSpPr>
      <xdr:grpSpPr>
        <a:xfrm>
          <a:off x="3496194" y="7284211"/>
          <a:ext cx="526473" cy="353800"/>
          <a:chOff x="2948940" y="7284211"/>
          <a:chExt cx="526473" cy="353800"/>
        </a:xfrm>
      </xdr:grpSpPr>
      <xdr:sp macro="" textlink="">
        <xdr:nvSpPr>
          <xdr:cNvPr id="5" name="Flowchart: Magnetic Disk 4">
            <a:extLst>
              <a:ext uri="{FF2B5EF4-FFF2-40B4-BE49-F238E27FC236}">
                <a16:creationId xmlns:a16="http://schemas.microsoft.com/office/drawing/2014/main" id="{ECBFD374-9AE5-4DD0-90A1-93AE9FA5C64C}"/>
              </a:ext>
            </a:extLst>
          </xdr:cNvPr>
          <xdr:cNvSpPr/>
        </xdr:nvSpPr>
        <xdr:spPr>
          <a:xfrm>
            <a:off x="2948940" y="7285413"/>
            <a:ext cx="526473" cy="352598"/>
          </a:xfrm>
          <a:prstGeom prst="flowChartMagneticDisk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46" name="Oval 45">
            <a:extLst>
              <a:ext uri="{FF2B5EF4-FFF2-40B4-BE49-F238E27FC236}">
                <a16:creationId xmlns:a16="http://schemas.microsoft.com/office/drawing/2014/main" id="{4B671BA9-70E3-4687-97BD-3692E39A7D3A}"/>
              </a:ext>
            </a:extLst>
          </xdr:cNvPr>
          <xdr:cNvSpPr/>
        </xdr:nvSpPr>
        <xdr:spPr>
          <a:xfrm>
            <a:off x="2956561" y="7284211"/>
            <a:ext cx="517650" cy="111929"/>
          </a:xfrm>
          <a:prstGeom prst="ellipse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47" name="Cube 46">
          <a:extLst>
            <a:ext uri="{FF2B5EF4-FFF2-40B4-BE49-F238E27FC236}">
              <a16:creationId xmlns:a16="http://schemas.microsoft.com/office/drawing/2014/main" id="{3AA99847-8CB1-48A7-996E-A1D0B6CEBB31}"/>
            </a:ext>
          </a:extLst>
        </xdr:cNvPr>
        <xdr:cNvSpPr/>
      </xdr:nvSpPr>
      <xdr:spPr>
        <a:xfrm>
          <a:off x="942073" y="7215739"/>
          <a:ext cx="274320" cy="391828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346363</xdr:colOff>
      <xdr:row>9</xdr:row>
      <xdr:rowOff>132311</xdr:rowOff>
    </xdr:from>
    <xdr:to>
      <xdr:col>16</xdr:col>
      <xdr:colOff>398318</xdr:colOff>
      <xdr:row>11</xdr:row>
      <xdr:rowOff>110144</xdr:rowOff>
    </xdr:to>
    <xdr:sp macro="" textlink="">
      <xdr:nvSpPr>
        <xdr:cNvPr id="54" name="Flowchart: Terminator 53">
          <a:extLst>
            <a:ext uri="{FF2B5EF4-FFF2-40B4-BE49-F238E27FC236}">
              <a16:creationId xmlns:a16="http://schemas.microsoft.com/office/drawing/2014/main" id="{A3E8306D-5110-42AC-A476-5012EA7AD129}"/>
            </a:ext>
          </a:extLst>
        </xdr:cNvPr>
        <xdr:cNvSpPr/>
      </xdr:nvSpPr>
      <xdr:spPr>
        <a:xfrm>
          <a:off x="8769927" y="1781002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TIPCHECK</a:t>
          </a:r>
          <a:r>
            <a:rPr lang="en-GB" sz="1100" baseline="0"/>
            <a:t> </a:t>
          </a:r>
          <a:endParaRPr lang="en-GB" sz="1100"/>
        </a:p>
      </xdr:txBody>
    </xdr:sp>
    <xdr:clientData/>
  </xdr:twoCellAnchor>
  <xdr:twoCellAnchor editAs="oneCell">
    <xdr:from>
      <xdr:col>16</xdr:col>
      <xdr:colOff>497378</xdr:colOff>
      <xdr:row>9</xdr:row>
      <xdr:rowOff>48491</xdr:rowOff>
    </xdr:from>
    <xdr:to>
      <xdr:col>18</xdr:col>
      <xdr:colOff>17318</xdr:colOff>
      <xdr:row>11</xdr:row>
      <xdr:rowOff>171104</xdr:rowOff>
    </xdr:to>
    <xdr:pic>
      <xdr:nvPicPr>
        <xdr:cNvPr id="55" name="Graphic 54" descr="Share">
          <a:extLst>
            <a:ext uri="{FF2B5EF4-FFF2-40B4-BE49-F238E27FC236}">
              <a16:creationId xmlns:a16="http://schemas.microsoft.com/office/drawing/2014/main" id="{A913471E-8027-4551-AD4D-4BB440E03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26287" y="1697182"/>
          <a:ext cx="510540" cy="510540"/>
        </a:xfrm>
        <a:prstGeom prst="rect">
          <a:avLst/>
        </a:prstGeom>
      </xdr:spPr>
    </xdr:pic>
    <xdr:clientData/>
  </xdr:twoCellAnchor>
  <xdr:twoCellAnchor>
    <xdr:from>
      <xdr:col>6</xdr:col>
      <xdr:colOff>376844</xdr:colOff>
      <xdr:row>26</xdr:row>
      <xdr:rowOff>5543</xdr:rowOff>
    </xdr:from>
    <xdr:to>
      <xdr:col>8</xdr:col>
      <xdr:colOff>27709</xdr:colOff>
      <xdr:row>31</xdr:row>
      <xdr:rowOff>13855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DB21867-72F5-46EB-9D59-B0B6CDEB639E}"/>
            </a:ext>
          </a:extLst>
        </xdr:cNvPr>
        <xdr:cNvCxnSpPr/>
      </xdr:nvCxnSpPr>
      <xdr:spPr>
        <a:xfrm flipH="1" flipV="1">
          <a:off x="3944389" y="4951616"/>
          <a:ext cx="856211" cy="957348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9699</xdr:colOff>
      <xdr:row>9</xdr:row>
      <xdr:rowOff>55418</xdr:rowOff>
    </xdr:from>
    <xdr:to>
      <xdr:col>20</xdr:col>
      <xdr:colOff>200891</xdr:colOff>
      <xdr:row>10</xdr:row>
      <xdr:rowOff>144779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030A8244-FF78-4EF6-81E9-F534D8FBCC4F}"/>
            </a:ext>
          </a:extLst>
        </xdr:cNvPr>
        <xdr:cNvCxnSpPr/>
      </xdr:nvCxnSpPr>
      <xdr:spPr>
        <a:xfrm flipH="1">
          <a:off x="10629208" y="1704109"/>
          <a:ext cx="1188719" cy="28332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DC0F29C7-F442-476C-B020-C3346F5CE7A3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A7DA41EC-40FF-4336-BF8D-3A9D0D54ABF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60960</xdr:colOff>
      <xdr:row>98</xdr:row>
      <xdr:rowOff>114300</xdr:rowOff>
    </xdr:from>
    <xdr:ext cx="770602" cy="466899"/>
    <xdr:pic>
      <xdr:nvPicPr>
        <xdr:cNvPr id="51" name="Picture 50">
          <a:extLst>
            <a:ext uri="{FF2B5EF4-FFF2-40B4-BE49-F238E27FC236}">
              <a16:creationId xmlns:a16="http://schemas.microsoft.com/office/drawing/2014/main" id="{53CD2E81-1AA6-46CF-B601-B5B1EE094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12924" y="10976264"/>
          <a:ext cx="770602" cy="466899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102</xdr:row>
      <xdr:rowOff>83820</xdr:rowOff>
    </xdr:from>
    <xdr:ext cx="1654772" cy="360218"/>
    <xdr:pic>
      <xdr:nvPicPr>
        <xdr:cNvPr id="52" name="Picture 51">
          <a:extLst>
            <a:ext uri="{FF2B5EF4-FFF2-40B4-BE49-F238E27FC236}">
              <a16:creationId xmlns:a16="http://schemas.microsoft.com/office/drawing/2014/main" id="{E42AAC0E-D61E-4D92-AE19-44A7347E0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13911" y="11790911"/>
          <a:ext cx="1654772" cy="360218"/>
        </a:xfrm>
        <a:prstGeom prst="rect">
          <a:avLst/>
        </a:prstGeom>
      </xdr:spPr>
    </xdr:pic>
    <xdr:clientData/>
  </xdr:oneCellAnchor>
  <xdr:twoCellAnchor>
    <xdr:from>
      <xdr:col>9</xdr:col>
      <xdr:colOff>408709</xdr:colOff>
      <xdr:row>99</xdr:row>
      <xdr:rowOff>0</xdr:rowOff>
    </xdr:from>
    <xdr:to>
      <xdr:col>19</xdr:col>
      <xdr:colOff>487681</xdr:colOff>
      <xdr:row>102</xdr:row>
      <xdr:rowOff>55418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5FEB2762-125D-4E3F-BE61-A7503A21484E}"/>
            </a:ext>
          </a:extLst>
        </xdr:cNvPr>
        <xdr:cNvCxnSpPr/>
      </xdr:nvCxnSpPr>
      <xdr:spPr>
        <a:xfrm flipH="1">
          <a:off x="5784273" y="11090564"/>
          <a:ext cx="5939444" cy="671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144778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9E1272-24F3-4F90-AE5B-6946C6D9E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276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55D86F7-1609-4477-9006-6397DC91A8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7" name="Rectangle: Top Corners One Rounded and One Snipped 6">
          <a:extLst>
            <a:ext uri="{FF2B5EF4-FFF2-40B4-BE49-F238E27FC236}">
              <a16:creationId xmlns:a16="http://schemas.microsoft.com/office/drawing/2014/main" id="{FE5AA94E-E7F1-4520-905D-EDDEEC371345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0EEE39DD-4192-42DB-9E39-8858C780CDE1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B0AB55E6-0E53-4162-875B-D90749920B80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A08117CF-B73E-4CC2-84C9-127F28AD971E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268AEAAB-325A-40E2-A48D-149FBA0277A2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2</xdr:col>
      <xdr:colOff>998220</xdr:colOff>
      <xdr:row>8</xdr:row>
      <xdr:rowOff>129540</xdr:rowOff>
    </xdr:to>
    <xdr:pic>
      <xdr:nvPicPr>
        <xdr:cNvPr id="13" name="Graphic 12" descr="Open Folder">
          <a:extLst>
            <a:ext uri="{FF2B5EF4-FFF2-40B4-BE49-F238E27FC236}">
              <a16:creationId xmlns:a16="http://schemas.microsoft.com/office/drawing/2014/main" id="{285CC7B0-73AB-4DF2-A676-02C3D9DCB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4" name="Flowchart: Terminator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88E1E41-EAA7-4FFF-B4AB-5B8BC1ACC6BC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EB0A6A0-8420-40A9-881F-544AB98448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D1ECD0B-EA38-4BA4-B105-2B27DD8B6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117050</xdr:colOff>
      <xdr:row>38</xdr:row>
      <xdr:rowOff>149652</xdr:rowOff>
    </xdr:from>
    <xdr:to>
      <xdr:col>16</xdr:col>
      <xdr:colOff>513289</xdr:colOff>
      <xdr:row>43</xdr:row>
      <xdr:rowOff>33229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A3F43F8-759E-4845-90F7-29D4CC26C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9288781" y="7307581"/>
          <a:ext cx="79797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608754</xdr:colOff>
      <xdr:row>56</xdr:row>
      <xdr:rowOff>137160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2CAEAA-71B2-4F1D-9A1E-E0B65DC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09499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464820</xdr:colOff>
      <xdr:row>49</xdr:row>
      <xdr:rowOff>106680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3B1C9BA6-FDE6-43ED-89DC-F7B0BC7F4705}"/>
            </a:ext>
          </a:extLst>
        </xdr:cNvPr>
        <xdr:cNvCxnSpPr/>
      </xdr:nvCxnSpPr>
      <xdr:spPr>
        <a:xfrm flipH="1" flipV="1">
          <a:off x="8389620" y="9220200"/>
          <a:ext cx="34975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137160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26A811-D076-428F-AA90-393410A016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477500"/>
          <a:ext cx="556260" cy="403860"/>
        </a:xfrm>
        <a:prstGeom prst="rect">
          <a:avLst/>
        </a:prstGeom>
      </xdr:spPr>
    </xdr:pic>
    <xdr:clientData/>
  </xdr:twoCellAnchor>
  <xdr:twoCellAnchor>
    <xdr:from>
      <xdr:col>14</xdr:col>
      <xdr:colOff>525780</xdr:colOff>
      <xdr:row>9</xdr:row>
      <xdr:rowOff>68580</xdr:rowOff>
    </xdr:from>
    <xdr:to>
      <xdr:col>16</xdr:col>
      <xdr:colOff>426720</xdr:colOff>
      <xdr:row>11</xdr:row>
      <xdr:rowOff>53340</xdr:rowOff>
    </xdr:to>
    <xdr:sp macro="" textlink="">
      <xdr:nvSpPr>
        <xdr:cNvPr id="21" name="Flowchart: Terminator 20">
          <a:extLst>
            <a:ext uri="{FF2B5EF4-FFF2-40B4-BE49-F238E27FC236}">
              <a16:creationId xmlns:a16="http://schemas.microsoft.com/office/drawing/2014/main" id="{D8D4791A-563A-4AE4-B276-E2347135A8C9}"/>
            </a:ext>
          </a:extLst>
        </xdr:cNvPr>
        <xdr:cNvSpPr/>
      </xdr:nvSpPr>
      <xdr:spPr>
        <a:xfrm>
          <a:off x="854202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525780</xdr:colOff>
      <xdr:row>8</xdr:row>
      <xdr:rowOff>175260</xdr:rowOff>
    </xdr:from>
    <xdr:to>
      <xdr:col>18</xdr:col>
      <xdr:colOff>45720</xdr:colOff>
      <xdr:row>11</xdr:row>
      <xdr:rowOff>114300</xdr:rowOff>
    </xdr:to>
    <xdr:pic>
      <xdr:nvPicPr>
        <xdr:cNvPr id="22" name="Graphic 21" descr="Share">
          <a:extLst>
            <a:ext uri="{FF2B5EF4-FFF2-40B4-BE49-F238E27FC236}">
              <a16:creationId xmlns:a16="http://schemas.microsoft.com/office/drawing/2014/main" id="{987ABAA6-A467-4381-B0FE-E248887EA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89838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855C0DB2-3116-47CE-99DB-480BDAEE06CE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129540</xdr:colOff>
      <xdr:row>24</xdr:row>
      <xdr:rowOff>94568</xdr:rowOff>
    </xdr:from>
    <xdr:to>
      <xdr:col>1</xdr:col>
      <xdr:colOff>297180</xdr:colOff>
      <xdr:row>25</xdr:row>
      <xdr:rowOff>153863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CB8CBC-D143-4984-A27C-28C774C06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7680" y="4399868"/>
          <a:ext cx="167640" cy="249795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E8013AB3-A009-4406-AAA8-74BEA4391AA8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D6D61452-D4D3-4662-BD76-2362C5C2EAEC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65760"/>
    <xdr:pic>
      <xdr:nvPicPr>
        <xdr:cNvPr id="30" name="Picture 29">
          <a:extLst>
            <a:ext uri="{FF2B5EF4-FFF2-40B4-BE49-F238E27FC236}">
              <a16:creationId xmlns:a16="http://schemas.microsoft.com/office/drawing/2014/main" id="{FEF58657-5309-469D-9773-701B1C6A0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1102340"/>
          <a:ext cx="1652694" cy="36576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464820</xdr:colOff>
      <xdr:row>122</xdr:row>
      <xdr:rowOff>106680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E5E5CFB0-CA31-400B-B8B9-AD7F1367D35B}"/>
            </a:ext>
          </a:extLst>
        </xdr:cNvPr>
        <xdr:cNvCxnSpPr/>
      </xdr:nvCxnSpPr>
      <xdr:spPr>
        <a:xfrm flipH="1" flipV="1">
          <a:off x="8389620" y="9410700"/>
          <a:ext cx="36880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03860"/>
    <xdr:pic>
      <xdr:nvPicPr>
        <xdr:cNvPr id="32" name="Picture 31">
          <a:extLst>
            <a:ext uri="{FF2B5EF4-FFF2-40B4-BE49-F238E27FC236}">
              <a16:creationId xmlns:a16="http://schemas.microsoft.com/office/drawing/2014/main" id="{AC893006-34AC-4F93-84A9-D3361A3B48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873740"/>
          <a:ext cx="556260" cy="403860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331C38-20C7-468A-AC29-ABC857355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192025</xdr:colOff>
      <xdr:row>6</xdr:row>
      <xdr:rowOff>68580</xdr:rowOff>
    </xdr:from>
    <xdr:to>
      <xdr:col>2</xdr:col>
      <xdr:colOff>388620</xdr:colOff>
      <xdr:row>9</xdr:row>
      <xdr:rowOff>137159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296FC22-51EA-47BD-BB4D-DE59BCA52D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50165" y="944880"/>
          <a:ext cx="554735" cy="64007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E151F327-064E-4C57-833F-D5A8AC65BA0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flange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55B6BF39-70F8-434A-8337-E74F67BA67D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CF14A701-5507-434D-BB3D-EFFAC446F99A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0ADC7EF9-6ED1-48B3-859D-AC652A56342F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ED753DC-F2EB-48E2-AAEC-3C658FCC5A20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AFDD1B28-E75A-432B-BEE8-7E6E9AE94D0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639833-720F-4AB1-AE9D-7A318A15D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36DF705-98DA-44B9-949F-9ADEADEDD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147530</xdr:colOff>
      <xdr:row>36</xdr:row>
      <xdr:rowOff>172512</xdr:rowOff>
    </xdr:from>
    <xdr:to>
      <xdr:col>16</xdr:col>
      <xdr:colOff>543769</xdr:colOff>
      <xdr:row>43</xdr:row>
      <xdr:rowOff>246589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4711C5-74A3-4057-A5C6-AC700D5E3B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333" t="38094" r="77667"/>
        <a:stretch/>
      </xdr:blipFill>
      <xdr:spPr>
        <a:xfrm rot="16200000">
          <a:off x="9041131" y="7242811"/>
          <a:ext cx="135423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509694</xdr:colOff>
      <xdr:row>56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90B701-5753-478D-85C0-BBA9FA94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6451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27BF9A2-784C-4C84-952D-977C2A4DC6DA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17E0185-92DB-4E7E-8E3B-0A3BDE3A2E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416540"/>
          <a:ext cx="556260" cy="403860"/>
        </a:xfrm>
        <a:prstGeom prst="rect">
          <a:avLst/>
        </a:prstGeom>
      </xdr:spPr>
    </xdr:pic>
    <xdr:clientData/>
  </xdr:twoCellAnchor>
  <xdr:twoCellAnchor editAs="oneCell">
    <xdr:from>
      <xdr:col>9</xdr:col>
      <xdr:colOff>327660</xdr:colOff>
      <xdr:row>11</xdr:row>
      <xdr:rowOff>129540</xdr:rowOff>
    </xdr:from>
    <xdr:to>
      <xdr:col>10</xdr:col>
      <xdr:colOff>403860</xdr:colOff>
      <xdr:row>14</xdr:row>
      <xdr:rowOff>102331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444243C-C798-4FA0-A1E4-817E2220D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5295900" y="2011680"/>
          <a:ext cx="678180" cy="544291"/>
        </a:xfrm>
        <a:prstGeom prst="rect">
          <a:avLst/>
        </a:prstGeom>
        <a:effectLst>
          <a:softEdge rad="76200"/>
        </a:effectLst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85AADBB-430E-40AD-9CAD-2487BAEFE642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556260</xdr:colOff>
      <xdr:row>9</xdr:row>
      <xdr:rowOff>99060</xdr:rowOff>
    </xdr:from>
    <xdr:to>
      <xdr:col>16</xdr:col>
      <xdr:colOff>457200</xdr:colOff>
      <xdr:row>11</xdr:row>
      <xdr:rowOff>83820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EC3AE198-5C6A-4CCF-90B2-81DDDB4FD88C}"/>
            </a:ext>
          </a:extLst>
        </xdr:cNvPr>
        <xdr:cNvSpPr/>
      </xdr:nvSpPr>
      <xdr:spPr>
        <a:xfrm>
          <a:off x="8572500" y="160020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9</xdr:row>
      <xdr:rowOff>15240</xdr:rowOff>
    </xdr:from>
    <xdr:to>
      <xdr:col>18</xdr:col>
      <xdr:colOff>76200</xdr:colOff>
      <xdr:row>11</xdr:row>
      <xdr:rowOff>144780</xdr:rowOff>
    </xdr:to>
    <xdr:pic>
      <xdr:nvPicPr>
        <xdr:cNvPr id="25" name="Graphic 24" descr="Share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3DC0880-4B27-47AF-B182-BEE8EEEB4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9928860" y="151638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83820</xdr:rowOff>
    </xdr:from>
    <xdr:to>
      <xdr:col>16</xdr:col>
      <xdr:colOff>205740</xdr:colOff>
      <xdr:row>1</xdr:row>
      <xdr:rowOff>114300</xdr:rowOff>
    </xdr:to>
    <xdr:sp macro="" textlink="">
      <xdr:nvSpPr>
        <xdr:cNvPr id="26" name="Flowchart: Terminator 2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8039E35-B87A-4CC1-B3C6-A66486EE6C2A}"/>
            </a:ext>
          </a:extLst>
        </xdr:cNvPr>
        <xdr:cNvSpPr/>
      </xdr:nvSpPr>
      <xdr:spPr>
        <a:xfrm>
          <a:off x="8884920" y="8382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23</xdr:col>
      <xdr:colOff>99060</xdr:colOff>
      <xdr:row>11</xdr:row>
      <xdr:rowOff>76201</xdr:rowOff>
    </xdr:from>
    <xdr:to>
      <xdr:col>23</xdr:col>
      <xdr:colOff>545298</xdr:colOff>
      <xdr:row>13</xdr:row>
      <xdr:rowOff>53341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B58442D-AA56-4A69-BB80-661FF7CEE9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13350240" y="1905001"/>
          <a:ext cx="446238" cy="3581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24</xdr:row>
      <xdr:rowOff>22860</xdr:rowOff>
    </xdr:from>
    <xdr:to>
      <xdr:col>2</xdr:col>
      <xdr:colOff>7620</xdr:colOff>
      <xdr:row>25</xdr:row>
      <xdr:rowOff>184344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724C74-62AB-4582-9D38-CF7EB528E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4340" y="4328160"/>
          <a:ext cx="289560" cy="351984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535D940-6750-4778-99B7-9E4E27C64EDB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0B7A72FD-926B-44C6-8723-EB097ADF8FF4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32" name="Picture 31">
          <a:extLst>
            <a:ext uri="{FF2B5EF4-FFF2-40B4-BE49-F238E27FC236}">
              <a16:creationId xmlns:a16="http://schemas.microsoft.com/office/drawing/2014/main" id="{48C223AB-9453-4445-8900-CC25191FF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78230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CAD7126C-8385-4AF7-8E4D-76058F461CD3}"/>
            </a:ext>
          </a:extLst>
        </xdr:cNvPr>
        <xdr:cNvCxnSpPr/>
      </xdr:nvCxnSpPr>
      <xdr:spPr>
        <a:xfrm flipH="1" flipV="1">
          <a:off x="8389620" y="9227820"/>
          <a:ext cx="357378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34" name="Picture 33">
          <a:extLst>
            <a:ext uri="{FF2B5EF4-FFF2-40B4-BE49-F238E27FC236}">
              <a16:creationId xmlns:a16="http://schemas.microsoft.com/office/drawing/2014/main" id="{33EEB7BA-1484-4DDB-B785-5D9E99992D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55370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312420</xdr:colOff>
      <xdr:row>11</xdr:row>
      <xdr:rowOff>0</xdr:rowOff>
    </xdr:from>
    <xdr:to>
      <xdr:col>19</xdr:col>
      <xdr:colOff>373380</xdr:colOff>
      <xdr:row>12</xdr:row>
      <xdr:rowOff>91440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12FC954-1916-47DD-939C-7F175758AA80}"/>
            </a:ext>
          </a:extLst>
        </xdr:cNvPr>
        <xdr:cNvCxnSpPr/>
      </xdr:nvCxnSpPr>
      <xdr:spPr>
        <a:xfrm flipV="1">
          <a:off x="6027420" y="182880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99060</xdr:colOff>
      <xdr:row>25</xdr:row>
      <xdr:rowOff>182880</xdr:rowOff>
    </xdr:from>
    <xdr:to>
      <xdr:col>18</xdr:col>
      <xdr:colOff>7620</xdr:colOff>
      <xdr:row>27</xdr:row>
      <xdr:rowOff>140525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AAF8C3-29F0-415E-B784-91CB2A3B5F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4160" y="4693920"/>
          <a:ext cx="297180" cy="338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160021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526BFEC-04A0-45AB-BB3B-E6DA26DBA1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57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6810BA30-2392-4ED7-9BCC-5E5E0F84866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0F2EF39D-1DD4-4BA0-A0D3-B479DD70B62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348B351D-DE52-4618-B63F-9C1B0EF80055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C03FBA68-79EF-4705-9655-F377EEB7ABBA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BC37F2F-F750-4942-B1FD-21010960619C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B146EEF-A7FF-4762-BB32-5535C3E69B1B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BE7E99-2893-4721-AF2B-596BC3A74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16A51B2-43F2-430C-995F-8B332BB7B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208BC02-A3B0-4D4C-AAC0-572C7CC801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254F78C-0B2D-4FED-A68C-E56252C2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8100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A34D9498-561B-4100-8F17-C26FA31E9E04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5FE256-DA59-44B5-B450-805CE7CCD2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1910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D601DA-0503-453C-9BBD-FCCD225F4BAC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541020</xdr:colOff>
      <xdr:row>8</xdr:row>
      <xdr:rowOff>175260</xdr:rowOff>
    </xdr:from>
    <xdr:to>
      <xdr:col>18</xdr:col>
      <xdr:colOff>60960</xdr:colOff>
      <xdr:row>11</xdr:row>
      <xdr:rowOff>114300</xdr:rowOff>
    </xdr:to>
    <xdr:pic>
      <xdr:nvPicPr>
        <xdr:cNvPr id="26" name="Graphic 25" descr="Share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FF6E7CD-BD4E-4ECB-BEA7-927C5EA8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0264140" y="14478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152400</xdr:colOff>
      <xdr:row>0</xdr:row>
      <xdr:rowOff>91440</xdr:rowOff>
    </xdr:from>
    <xdr:to>
      <xdr:col>16</xdr:col>
      <xdr:colOff>243840</xdr:colOff>
      <xdr:row>1</xdr:row>
      <xdr:rowOff>121920</xdr:rowOff>
    </xdr:to>
    <xdr:sp macro="" textlink="">
      <xdr:nvSpPr>
        <xdr:cNvPr id="27" name="Flowchart: Terminator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D25C6A09-C049-4E9A-81A4-31BFC2BEA6A1}"/>
            </a:ext>
          </a:extLst>
        </xdr:cNvPr>
        <xdr:cNvSpPr/>
      </xdr:nvSpPr>
      <xdr:spPr>
        <a:xfrm>
          <a:off x="89230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171574</xdr:colOff>
      <xdr:row>6</xdr:row>
      <xdr:rowOff>68581</xdr:rowOff>
    </xdr:from>
    <xdr:to>
      <xdr:col>2</xdr:col>
      <xdr:colOff>388620</xdr:colOff>
      <xdr:row>9</xdr:row>
      <xdr:rowOff>182880</xdr:rowOff>
    </xdr:to>
    <xdr:pic>
      <xdr:nvPicPr>
        <xdr:cNvPr id="29" name="Picture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CCE3E928-0FF8-496E-B249-A4CCC34D31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29714" y="960121"/>
          <a:ext cx="575186" cy="68579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30" name="Rectangle: Top Corners One Rounded and One Snipped 29">
          <a:extLst>
            <a:ext uri="{FF2B5EF4-FFF2-40B4-BE49-F238E27FC236}">
              <a16:creationId xmlns:a16="http://schemas.microsoft.com/office/drawing/2014/main" id="{411C495F-CC15-4B04-BBD6-2C6A4D189BB8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valve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31" name="Flowchart: Terminator 30">
          <a:extLst>
            <a:ext uri="{FF2B5EF4-FFF2-40B4-BE49-F238E27FC236}">
              <a16:creationId xmlns:a16="http://schemas.microsoft.com/office/drawing/2014/main" id="{873011C8-3518-4011-B209-59A55207284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8AF6A2E8-9077-4DFD-BA44-2FDA44CAE6C7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55543F84-6456-4CAF-998C-06D9375DD59D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DEDA2F82-D08F-445F-ACA7-0EEDF654635D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3B33595-EC96-48C8-AB04-C65C4E60C5D4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8AD5F70-0770-4065-8001-4D7255DE8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93694C1-BA88-4DDB-BB61-D3946F06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2212C7-4927-4D53-AF2C-5F50F2C2A7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66D8F4-3D35-44C8-BD82-9550B81C7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9624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92C991E-7F5E-4D0E-AE41-146CFAFD2C69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66E2547-8043-4523-8025-8976DB9687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3434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902D2-B005-4924-A3B8-599553AF52F1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396240</xdr:colOff>
      <xdr:row>11</xdr:row>
      <xdr:rowOff>167641</xdr:rowOff>
    </xdr:from>
    <xdr:to>
      <xdr:col>10</xdr:col>
      <xdr:colOff>360284</xdr:colOff>
      <xdr:row>14</xdr:row>
      <xdr:rowOff>53341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FD7753D-4371-4048-9CC3-33F423E7B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5364480" y="2049781"/>
          <a:ext cx="566024" cy="457200"/>
        </a:xfrm>
        <a:prstGeom prst="rect">
          <a:avLst/>
        </a:prstGeom>
        <a:effectLst>
          <a:softEdge rad="12700"/>
        </a:effectLst>
      </xdr:spPr>
    </xdr:pic>
    <xdr:clientData/>
  </xdr:twoCellAnchor>
  <xdr:twoCellAnchor editAs="oneCell">
    <xdr:from>
      <xdr:col>23</xdr:col>
      <xdr:colOff>198120</xdr:colOff>
      <xdr:row>10</xdr:row>
      <xdr:rowOff>121919</xdr:rowOff>
    </xdr:from>
    <xdr:to>
      <xdr:col>23</xdr:col>
      <xdr:colOff>500001</xdr:colOff>
      <xdr:row>12</xdr:row>
      <xdr:rowOff>83820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25812EE-47B8-4EBC-B12F-9F3ABF9CB2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13449300" y="1775459"/>
          <a:ext cx="301881" cy="342901"/>
        </a:xfrm>
        <a:prstGeom prst="rect">
          <a:avLst/>
        </a:prstGeom>
        <a:effectLst>
          <a:softEdge rad="12700"/>
        </a:effectLst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A1D497EF-3320-48D7-BF7A-F06529447354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6689C89-B9C1-47CB-BAD2-14222B522FC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678180</xdr:colOff>
      <xdr:row>9</xdr:row>
      <xdr:rowOff>68580</xdr:rowOff>
    </xdr:from>
    <xdr:to>
      <xdr:col>16</xdr:col>
      <xdr:colOff>472440</xdr:colOff>
      <xdr:row>11</xdr:row>
      <xdr:rowOff>53340</xdr:rowOff>
    </xdr:to>
    <xdr:sp macro="" textlink="">
      <xdr:nvSpPr>
        <xdr:cNvPr id="37" name="Flowchart: Terminator 36">
          <a:extLst>
            <a:ext uri="{FF2B5EF4-FFF2-40B4-BE49-F238E27FC236}">
              <a16:creationId xmlns:a16="http://schemas.microsoft.com/office/drawing/2014/main" id="{AC43B005-71FA-4FE4-8F80-E28B0838D9B2}"/>
            </a:ext>
          </a:extLst>
        </xdr:cNvPr>
        <xdr:cNvSpPr/>
      </xdr:nvSpPr>
      <xdr:spPr>
        <a:xfrm>
          <a:off x="8694420" y="1531620"/>
          <a:ext cx="150114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44" name="Picture 43">
          <a:extLst>
            <a:ext uri="{FF2B5EF4-FFF2-40B4-BE49-F238E27FC236}">
              <a16:creationId xmlns:a16="http://schemas.microsoft.com/office/drawing/2014/main" id="{D7B721CD-963E-4422-8C9D-5D1773C4F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4AF2E0A0-F4C2-4479-A07A-C5031A41B43B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1" name="Picture 50">
          <a:extLst>
            <a:ext uri="{FF2B5EF4-FFF2-40B4-BE49-F238E27FC236}">
              <a16:creationId xmlns:a16="http://schemas.microsoft.com/office/drawing/2014/main" id="{E017AA66-EE30-498D-98A6-8E589AC54F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52" name="Picture 51">
          <a:extLst>
            <a:ext uri="{FF2B5EF4-FFF2-40B4-BE49-F238E27FC236}">
              <a16:creationId xmlns:a16="http://schemas.microsoft.com/office/drawing/2014/main" id="{2404E206-339B-4C70-8A56-267A007F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0BC39613-04E1-4DD1-A49A-A81A2456159F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4" name="Picture 53">
          <a:extLst>
            <a:ext uri="{FF2B5EF4-FFF2-40B4-BE49-F238E27FC236}">
              <a16:creationId xmlns:a16="http://schemas.microsoft.com/office/drawing/2014/main" id="{D399A640-ABD2-47D2-8DC9-9DA1D8854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55" name="Picture 54">
          <a:extLst>
            <a:ext uri="{FF2B5EF4-FFF2-40B4-BE49-F238E27FC236}">
              <a16:creationId xmlns:a16="http://schemas.microsoft.com/office/drawing/2014/main" id="{48A5863D-5617-4AC0-86FB-84B406702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2513838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ABB952D-0FC2-400C-915A-58101C4E2AA6}"/>
            </a:ext>
          </a:extLst>
        </xdr:cNvPr>
        <xdr:cNvCxnSpPr/>
      </xdr:nvCxnSpPr>
      <xdr:spPr>
        <a:xfrm flipH="1" flipV="1">
          <a:off x="8488680" y="23561040"/>
          <a:ext cx="357378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57" name="Picture 56">
          <a:extLst>
            <a:ext uri="{FF2B5EF4-FFF2-40B4-BE49-F238E27FC236}">
              <a16:creationId xmlns:a16="http://schemas.microsoft.com/office/drawing/2014/main" id="{2BD4CAFC-D7A2-4E8C-8DB3-A606B375B0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2489454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396240</xdr:colOff>
      <xdr:row>10</xdr:row>
      <xdr:rowOff>144780</xdr:rowOff>
    </xdr:from>
    <xdr:to>
      <xdr:col>19</xdr:col>
      <xdr:colOff>381000</xdr:colOff>
      <xdr:row>12</xdr:row>
      <xdr:rowOff>45720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B6CE848-3814-441F-A9B3-BE2AAE443143}"/>
            </a:ext>
          </a:extLst>
        </xdr:cNvPr>
        <xdr:cNvCxnSpPr/>
      </xdr:nvCxnSpPr>
      <xdr:spPr>
        <a:xfrm flipV="1">
          <a:off x="6080760" y="179832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175261</xdr:rowOff>
    </xdr:to>
    <xdr:pic>
      <xdr:nvPicPr>
        <xdr:cNvPr id="5" name="Picture 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CDE2DB-A027-42F0-A645-B86ACEB2AE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7244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FFD9FBB0-35F5-4516-BDDE-647A1C2B227A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E7BAA23F-6FD7-4BDB-AAC9-828411B5509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4521DE41-8738-40E8-9A13-D68D799E3109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5A6FC2EA-1DF4-4C64-9058-42B2EC6FBA80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8DEF7DF2-3428-40AD-811A-B579B59E0959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175260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C3D65142-656A-4DDC-A7E8-086AD26A2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8768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DFE5021-4BD0-4C5E-9B6C-B65925F1946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7</xdr:col>
      <xdr:colOff>379735</xdr:colOff>
      <xdr:row>32</xdr:row>
      <xdr:rowOff>99060</xdr:rowOff>
    </xdr:from>
    <xdr:to>
      <xdr:col>7</xdr:col>
      <xdr:colOff>554994</xdr:colOff>
      <xdr:row>37</xdr:row>
      <xdr:rowOff>835656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E79A440-0FE6-42FE-98EE-1D9C0F713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3802387" y="6826248"/>
          <a:ext cx="1650996" cy="175259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41</xdr:row>
      <xdr:rowOff>60960</xdr:rowOff>
    </xdr:from>
    <xdr:to>
      <xdr:col>20</xdr:col>
      <xdr:colOff>297180</xdr:colOff>
      <xdr:row>43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8DA1F7-9E97-4037-AD79-89190282FA83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30480</xdr:colOff>
      <xdr:row>65</xdr:row>
      <xdr:rowOff>30480</xdr:rowOff>
    </xdr:from>
    <xdr:to>
      <xdr:col>20</xdr:col>
      <xdr:colOff>45720</xdr:colOff>
      <xdr:row>71</xdr:row>
      <xdr:rowOff>68580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FA4ECA-3074-4E18-918F-D821FF032A73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4" name="TextBox 22">
          <a:extLst>
            <a:ext uri="{FF2B5EF4-FFF2-40B4-BE49-F238E27FC236}">
              <a16:creationId xmlns:a16="http://schemas.microsoft.com/office/drawing/2014/main" id="{648124F9-E975-43BF-B4A0-74CE9FBA91B2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5" name="TextBox 22">
          <a:extLst>
            <a:ext uri="{FF2B5EF4-FFF2-40B4-BE49-F238E27FC236}">
              <a16:creationId xmlns:a16="http://schemas.microsoft.com/office/drawing/2014/main" id="{ACCEBDC7-7488-4A47-ADAC-8223E42D870C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10</xdr:col>
      <xdr:colOff>112970</xdr:colOff>
      <xdr:row>36</xdr:row>
      <xdr:rowOff>92773</xdr:rowOff>
    </xdr:from>
    <xdr:to>
      <xdr:col>11</xdr:col>
      <xdr:colOff>76203</xdr:colOff>
      <xdr:row>37</xdr:row>
      <xdr:rowOff>588072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CF99E12-0F85-4248-8E8D-81E2B885A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6022947" y="6870096"/>
          <a:ext cx="678179" cy="565213"/>
        </a:xfrm>
        <a:prstGeom prst="rect">
          <a:avLst/>
        </a:prstGeom>
      </xdr:spPr>
    </xdr:pic>
    <xdr:clientData/>
  </xdr:twoCellAnchor>
  <xdr:twoCellAnchor editAs="oneCell">
    <xdr:from>
      <xdr:col>9</xdr:col>
      <xdr:colOff>34761</xdr:colOff>
      <xdr:row>33</xdr:row>
      <xdr:rowOff>175260</xdr:rowOff>
    </xdr:from>
    <xdr:to>
      <xdr:col>10</xdr:col>
      <xdr:colOff>2</xdr:colOff>
      <xdr:row>38</xdr:row>
      <xdr:rowOff>167639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20FC87-EC3F-407F-A5B8-89A6BF5DE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696062" y="7050639"/>
          <a:ext cx="19735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198125</xdr:colOff>
      <xdr:row>31</xdr:row>
      <xdr:rowOff>91440</xdr:rowOff>
    </xdr:from>
    <xdr:to>
      <xdr:col>12</xdr:col>
      <xdr:colOff>548647</xdr:colOff>
      <xdr:row>37</xdr:row>
      <xdr:rowOff>1234689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F7D8660-76F7-4041-B6FA-F5F9AC5C7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5881" b="71395"/>
        <a:stretch/>
      </xdr:blipFill>
      <xdr:spPr>
        <a:xfrm rot="16200000">
          <a:off x="6294001" y="6842884"/>
          <a:ext cx="224052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95257</xdr:colOff>
      <xdr:row>32</xdr:row>
      <xdr:rowOff>91442</xdr:rowOff>
    </xdr:from>
    <xdr:to>
      <xdr:col>11</xdr:col>
      <xdr:colOff>350526</xdr:colOff>
      <xdr:row>37</xdr:row>
      <xdr:rowOff>1108712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CBE00C5-57C0-46ED-91FE-FE93AB9E7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3193" t="6336" r="42544" b="83935"/>
        <a:stretch/>
      </xdr:blipFill>
      <xdr:spPr>
        <a:xfrm rot="16200000">
          <a:off x="5825497" y="6758942"/>
          <a:ext cx="1931670" cy="2552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8" name="Rectangle: Top Corners One Rounded and One Snipped 37">
          <a:extLst>
            <a:ext uri="{FF2B5EF4-FFF2-40B4-BE49-F238E27FC236}">
              <a16:creationId xmlns:a16="http://schemas.microsoft.com/office/drawing/2014/main" id="{574A7F58-BB2D-488F-96D3-1ADE6D9F0BB0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Other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E23C4925-D945-40DB-BE9C-CC174A1E3311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</xdr:col>
      <xdr:colOff>45721</xdr:colOff>
      <xdr:row>24</xdr:row>
      <xdr:rowOff>15241</xdr:rowOff>
    </xdr:from>
    <xdr:to>
      <xdr:col>1</xdr:col>
      <xdr:colOff>335281</xdr:colOff>
      <xdr:row>25</xdr:row>
      <xdr:rowOff>173261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DE199E7-EE26-43A0-875F-334863E61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8641" y="433578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138281</xdr:colOff>
      <xdr:row>27</xdr:row>
      <xdr:rowOff>81735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DF4A509-D13A-4A66-BC34-9529C9D51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42</xdr:row>
      <xdr:rowOff>114300</xdr:rowOff>
    </xdr:from>
    <xdr:to>
      <xdr:col>13</xdr:col>
      <xdr:colOff>62635</xdr:colOff>
      <xdr:row>44</xdr:row>
      <xdr:rowOff>137160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45C336E-239C-4B80-B0B3-C309844D3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46</xdr:row>
      <xdr:rowOff>83820</xdr:rowOff>
    </xdr:from>
    <xdr:to>
      <xdr:col>11</xdr:col>
      <xdr:colOff>387774</xdr:colOff>
      <xdr:row>48</xdr:row>
      <xdr:rowOff>68580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06DDA6A-B279-49BD-8253-A0D9B9C6A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41</xdr:row>
      <xdr:rowOff>15240</xdr:rowOff>
    </xdr:from>
    <xdr:to>
      <xdr:col>19</xdr:col>
      <xdr:colOff>487680</xdr:colOff>
      <xdr:row>43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E2AAA0DE-B692-4FFD-9015-6495A0BBF53F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137160</xdr:colOff>
      <xdr:row>9</xdr:row>
      <xdr:rowOff>106680</xdr:rowOff>
    </xdr:from>
    <xdr:to>
      <xdr:col>16</xdr:col>
      <xdr:colOff>449580</xdr:colOff>
      <xdr:row>11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445AD750-7905-44B2-AED6-7F9CC6B91F77}"/>
            </a:ext>
          </a:extLst>
        </xdr:cNvPr>
        <xdr:cNvSpPr/>
      </xdr:nvSpPr>
      <xdr:spPr>
        <a:xfrm>
          <a:off x="9151620" y="1729740"/>
          <a:ext cx="9144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548640</xdr:colOff>
      <xdr:row>9</xdr:row>
      <xdr:rowOff>22860</xdr:rowOff>
    </xdr:from>
    <xdr:to>
      <xdr:col>17</xdr:col>
      <xdr:colOff>457200</xdr:colOff>
      <xdr:row>11</xdr:row>
      <xdr:rowOff>152400</xdr:rowOff>
    </xdr:to>
    <xdr:pic>
      <xdr:nvPicPr>
        <xdr:cNvPr id="41" name="Graphic 40" descr="Share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C34562F9-E2BB-4F9F-B8F3-9FF7580B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65080" y="164592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76200</xdr:colOff>
      <xdr:row>0</xdr:row>
      <xdr:rowOff>91440</xdr:rowOff>
    </xdr:from>
    <xdr:to>
      <xdr:col>16</xdr:col>
      <xdr:colOff>167640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F950B227-49FD-4CB0-971B-069169702BEE}"/>
            </a:ext>
          </a:extLst>
        </xdr:cNvPr>
        <xdr:cNvSpPr/>
      </xdr:nvSpPr>
      <xdr:spPr>
        <a:xfrm>
          <a:off x="90906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83820</xdr:colOff>
      <xdr:row>12</xdr:row>
      <xdr:rowOff>114300</xdr:rowOff>
    </xdr:from>
    <xdr:to>
      <xdr:col>20</xdr:col>
      <xdr:colOff>320040</xdr:colOff>
      <xdr:row>13</xdr:row>
      <xdr:rowOff>30480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2F077BF-ADA8-429B-A0E2-92E89FF0F7EF}"/>
            </a:ext>
          </a:extLst>
        </xdr:cNvPr>
        <xdr:cNvCxnSpPr/>
      </xdr:nvCxnSpPr>
      <xdr:spPr>
        <a:xfrm flipV="1">
          <a:off x="4244340" y="2148840"/>
          <a:ext cx="7764780" cy="1066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525980</xdr:colOff>
      <xdr:row>13</xdr:row>
      <xdr:rowOff>30480</xdr:rowOff>
    </xdr:from>
    <xdr:to>
      <xdr:col>10</xdr:col>
      <xdr:colOff>473802</xdr:colOff>
      <xdr:row>15</xdr:row>
      <xdr:rowOff>15240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E1D260F5-0C41-432A-9482-0F49CD97687F}"/>
            </a:ext>
          </a:extLst>
        </xdr:cNvPr>
        <xdr:cNvSpPr/>
      </xdr:nvSpPr>
      <xdr:spPr>
        <a:xfrm>
          <a:off x="4686500" y="22555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373380</xdr:colOff>
      <xdr:row>96</xdr:row>
      <xdr:rowOff>60960</xdr:rowOff>
    </xdr:from>
    <xdr:to>
      <xdr:col>20</xdr:col>
      <xdr:colOff>297180</xdr:colOff>
      <xdr:row>98</xdr:row>
      <xdr:rowOff>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A544A38-D95F-495E-BA74-BF5EB319F516}"/>
            </a:ext>
          </a:extLst>
        </xdr:cNvPr>
        <xdr:cNvCxnSpPr/>
      </xdr:nvCxnSpPr>
      <xdr:spPr>
        <a:xfrm flipH="1" flipV="1">
          <a:off x="8785860" y="9014460"/>
          <a:ext cx="3200400" cy="5638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102</xdr:row>
      <xdr:rowOff>114300</xdr:rowOff>
    </xdr:from>
    <xdr:ext cx="556260" cy="441960"/>
    <xdr:pic>
      <xdr:nvPicPr>
        <xdr:cNvPr id="39" name="Picture 38">
          <a:extLst>
            <a:ext uri="{FF2B5EF4-FFF2-40B4-BE49-F238E27FC236}">
              <a16:creationId xmlns:a16="http://schemas.microsoft.com/office/drawing/2014/main" id="{2FD91F9D-87BD-42D1-8D63-97008A82C1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1597" r="32278"/>
        <a:stretch/>
      </xdr:blipFill>
      <xdr:spPr>
        <a:xfrm>
          <a:off x="83820" y="10485120"/>
          <a:ext cx="556260" cy="441960"/>
        </a:xfrm>
        <a:prstGeom prst="rect">
          <a:avLst/>
        </a:prstGeom>
      </xdr:spPr>
    </xdr:pic>
    <xdr:clientData/>
  </xdr:oneCellAnchor>
  <xdr:oneCellAnchor>
    <xdr:from>
      <xdr:col>12</xdr:col>
      <xdr:colOff>60960</xdr:colOff>
      <xdr:row>97</xdr:row>
      <xdr:rowOff>114300</xdr:rowOff>
    </xdr:from>
    <xdr:ext cx="771295" cy="457200"/>
    <xdr:pic>
      <xdr:nvPicPr>
        <xdr:cNvPr id="42" name="Picture 41">
          <a:extLst>
            <a:ext uri="{FF2B5EF4-FFF2-40B4-BE49-F238E27FC236}">
              <a16:creationId xmlns:a16="http://schemas.microsoft.com/office/drawing/2014/main" id="{05D82D6C-1465-405F-BAEC-E7A2D0CDA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9464040"/>
          <a:ext cx="771295" cy="45720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101</xdr:row>
      <xdr:rowOff>83820</xdr:rowOff>
    </xdr:from>
    <xdr:ext cx="1652694" cy="350520"/>
    <xdr:pic>
      <xdr:nvPicPr>
        <xdr:cNvPr id="43" name="Picture 42">
          <a:extLst>
            <a:ext uri="{FF2B5EF4-FFF2-40B4-BE49-F238E27FC236}">
              <a16:creationId xmlns:a16="http://schemas.microsoft.com/office/drawing/2014/main" id="{5F0F037D-7A85-48DA-8CCD-F311B720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0271760"/>
          <a:ext cx="1652694" cy="350520"/>
        </a:xfrm>
        <a:prstGeom prst="rect">
          <a:avLst/>
        </a:prstGeom>
      </xdr:spPr>
    </xdr:pic>
    <xdr:clientData/>
  </xdr:oneCellAnchor>
  <xdr:twoCellAnchor>
    <xdr:from>
      <xdr:col>11</xdr:col>
      <xdr:colOff>388620</xdr:colOff>
      <xdr:row>96</xdr:row>
      <xdr:rowOff>15240</xdr:rowOff>
    </xdr:from>
    <xdr:to>
      <xdr:col>19</xdr:col>
      <xdr:colOff>487680</xdr:colOff>
      <xdr:row>98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E7AEEC36-070C-48C5-879B-41F2EFEB81F7}"/>
            </a:ext>
          </a:extLst>
        </xdr:cNvPr>
        <xdr:cNvCxnSpPr/>
      </xdr:nvCxnSpPr>
      <xdr:spPr>
        <a:xfrm flipH="1" flipV="1">
          <a:off x="6957060" y="8968740"/>
          <a:ext cx="461010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6D125525-A630-429E-8018-649B3C0661D8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9A52BD6A-6909-419B-A05E-58DA0106C32C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E9E21D-5CC5-4D0F-8CEF-2F0E123DD1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9A968EE2-A0B4-4E10-9964-ACAC7E52B412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AAF21E05-897E-4D99-B3C9-A77A16835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4AE842-CD8E-4CD7-AF8C-38D59EB221FA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B438DFF5-77F9-418E-8986-232D175D4828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1303710A-D4C4-4D12-B97F-380E219009CF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DE2580AF-6CA2-4BB2-B384-864CD06D8219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F28D8759-5713-44FA-A6FB-2A224AFED8FB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518161</xdr:colOff>
      <xdr:row>12</xdr:row>
      <xdr:rowOff>22861</xdr:rowOff>
    </xdr:from>
    <xdr:to>
      <xdr:col>4</xdr:col>
      <xdr:colOff>263994</xdr:colOff>
      <xdr:row>14</xdr:row>
      <xdr:rowOff>7621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AA0E7B-22B8-4E10-9A75-E62584B5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25981" y="2095501"/>
          <a:ext cx="347813" cy="36576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5620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5A4142-7CE8-4A39-8673-FD71C7B2D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E9A376-AD39-4584-9915-4B53F1311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10</xdr:col>
      <xdr:colOff>67250</xdr:colOff>
      <xdr:row>42</xdr:row>
      <xdr:rowOff>77533</xdr:rowOff>
    </xdr:from>
    <xdr:to>
      <xdr:col>10</xdr:col>
      <xdr:colOff>441963</xdr:colOff>
      <xdr:row>42</xdr:row>
      <xdr:rowOff>572832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CF5ECC-3A6A-46CF-9F8C-F8FB85ECA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5577177" y="6180486"/>
          <a:ext cx="49529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133822</xdr:colOff>
      <xdr:row>41</xdr:row>
      <xdr:rowOff>0</xdr:rowOff>
    </xdr:from>
    <xdr:to>
      <xdr:col>9</xdr:col>
      <xdr:colOff>403861</xdr:colOff>
      <xdr:row>42</xdr:row>
      <xdr:rowOff>745806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C1C7F4-BE82-4FAE-8CC9-8FE825DBE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4772739" y="6189103"/>
          <a:ext cx="92868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262945</xdr:colOff>
      <xdr:row>38</xdr:row>
      <xdr:rowOff>14442</xdr:rowOff>
    </xdr:from>
    <xdr:to>
      <xdr:col>12</xdr:col>
      <xdr:colOff>508635</xdr:colOff>
      <xdr:row>42</xdr:row>
      <xdr:rowOff>842010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01DAB0-574F-408C-BA94-5FED7D06DD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881" b="71395"/>
        <a:stretch/>
      </xdr:blipFill>
      <xdr:spPr>
        <a:xfrm rot="16200000">
          <a:off x="6250886" y="7628201"/>
          <a:ext cx="155908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110498</xdr:colOff>
      <xdr:row>39</xdr:row>
      <xdr:rowOff>7622</xdr:rowOff>
    </xdr:from>
    <xdr:to>
      <xdr:col>11</xdr:col>
      <xdr:colOff>269851</xdr:colOff>
      <xdr:row>42</xdr:row>
      <xdr:rowOff>655320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915C93-7EBA-464D-9380-D619A9E022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3193" t="6336" r="42544" b="83935"/>
        <a:stretch/>
      </xdr:blipFill>
      <xdr:spPr>
        <a:xfrm rot="16200000">
          <a:off x="5764206" y="6020134"/>
          <a:ext cx="119633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BBAE507C-7230-4538-9562-6A8A4190DF1C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114300</xdr:rowOff>
    </xdr:to>
    <xdr:pic>
      <xdr:nvPicPr>
        <xdr:cNvPr id="23" name="Graphic 22" descr="Share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59A76423-4AD3-40DA-8998-872BFFD8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45720</xdr:colOff>
      <xdr:row>0</xdr:row>
      <xdr:rowOff>99060</xdr:rowOff>
    </xdr:from>
    <xdr:to>
      <xdr:col>16</xdr:col>
      <xdr:colOff>137160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B797FC5A-F410-4956-BF80-9CC531CC7B93}"/>
            </a:ext>
          </a:extLst>
        </xdr:cNvPr>
        <xdr:cNvSpPr/>
      </xdr:nvSpPr>
      <xdr:spPr>
        <a:xfrm>
          <a:off x="881634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2259CEAC-0854-49A4-8022-CF96E48B62F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1094773-6F6B-4929-A7B9-B1DBDC124B77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9AF4F-127A-4106-B0D2-E8050AFC76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87BFB589-E1C8-4678-BD27-66410A8ED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4980428B-3A76-4564-84B7-C83A6214E48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4D1E5D85-D3FE-41AC-9FCE-221A332C2B26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1418857C-87EF-43F1-80BB-19734818832D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9141BD7-7234-4677-9635-0C6136756CA3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C58C140-A0C0-41CD-9F05-F3F64CAD24D5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2DC7768C-45B9-41A4-AEB1-143590209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9CFA6F7-4758-47AF-B737-DC08D3BD4BD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182886</xdr:colOff>
      <xdr:row>36</xdr:row>
      <xdr:rowOff>45721</xdr:rowOff>
    </xdr:from>
    <xdr:to>
      <xdr:col>13</xdr:col>
      <xdr:colOff>419105</xdr:colOff>
      <xdr:row>42</xdr:row>
      <xdr:rowOff>533401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286EDE0-C8C1-43CD-9559-D29E1C0F35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6922776" y="7311391"/>
          <a:ext cx="158496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364497</xdr:colOff>
      <xdr:row>38</xdr:row>
      <xdr:rowOff>69853</xdr:rowOff>
    </xdr:from>
    <xdr:to>
      <xdr:col>14</xdr:col>
      <xdr:colOff>539756</xdr:colOff>
      <xdr:row>42</xdr:row>
      <xdr:rowOff>783589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EC8DE78-5A82-4D21-BDD1-ED84A3617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7745739" y="7661911"/>
          <a:ext cx="144525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101809</xdr:colOff>
      <xdr:row>34</xdr:row>
      <xdr:rowOff>73451</xdr:rowOff>
    </xdr:from>
    <xdr:to>
      <xdr:col>16</xdr:col>
      <xdr:colOff>498048</xdr:colOff>
      <xdr:row>42</xdr:row>
      <xdr:rowOff>269448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CE93F56-8417-4E21-8A3A-C40BDA7467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8843010" y="6930390"/>
          <a:ext cx="1659037" cy="396239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39</xdr:row>
      <xdr:rowOff>106680</xdr:rowOff>
    </xdr:from>
    <xdr:to>
      <xdr:col>22</xdr:col>
      <xdr:colOff>470439</xdr:colOff>
      <xdr:row>41</xdr:row>
      <xdr:rowOff>144780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69348A-5565-4245-9B84-CAE890E42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12534900" y="7246620"/>
          <a:ext cx="287559" cy="403860"/>
        </a:xfrm>
        <a:prstGeom prst="rect">
          <a:avLst/>
        </a:prstGeom>
      </xdr:spPr>
    </xdr:pic>
    <xdr:clientData/>
  </xdr:twoCellAnchor>
  <xdr:twoCellAnchor editAs="oneCell">
    <xdr:from>
      <xdr:col>16</xdr:col>
      <xdr:colOff>556260</xdr:colOff>
      <xdr:row>9</xdr:row>
      <xdr:rowOff>38100</xdr:rowOff>
    </xdr:from>
    <xdr:to>
      <xdr:col>18</xdr:col>
      <xdr:colOff>76200</xdr:colOff>
      <xdr:row>11</xdr:row>
      <xdr:rowOff>167640</xdr:rowOff>
    </xdr:to>
    <xdr:pic>
      <xdr:nvPicPr>
        <xdr:cNvPr id="20" name="Graphic 19" descr="Share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B935974-D2AF-4658-91AE-AF139D480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53924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121920</xdr:colOff>
      <xdr:row>0</xdr:row>
      <xdr:rowOff>91440</xdr:rowOff>
    </xdr:from>
    <xdr:to>
      <xdr:col>16</xdr:col>
      <xdr:colOff>213360</xdr:colOff>
      <xdr:row>1</xdr:row>
      <xdr:rowOff>121920</xdr:rowOff>
    </xdr:to>
    <xdr:sp macro="" textlink="">
      <xdr:nvSpPr>
        <xdr:cNvPr id="22" name="Flowchart: Terminator 2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B8BBEB1A-A4AE-45ED-9432-350E556A9122}"/>
            </a:ext>
          </a:extLst>
        </xdr:cNvPr>
        <xdr:cNvSpPr/>
      </xdr:nvSpPr>
      <xdr:spPr>
        <a:xfrm>
          <a:off x="889254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556260</xdr:colOff>
      <xdr:row>9</xdr:row>
      <xdr:rowOff>129540</xdr:rowOff>
    </xdr:from>
    <xdr:to>
      <xdr:col>16</xdr:col>
      <xdr:colOff>457200</xdr:colOff>
      <xdr:row>11</xdr:row>
      <xdr:rowOff>114300</xdr:rowOff>
    </xdr:to>
    <xdr:sp macro="" textlink="">
      <xdr:nvSpPr>
        <xdr:cNvPr id="23" name="Flowchart: Terminator 22">
          <a:extLst>
            <a:ext uri="{FF2B5EF4-FFF2-40B4-BE49-F238E27FC236}">
              <a16:creationId xmlns:a16="http://schemas.microsoft.com/office/drawing/2014/main" id="{88D714DF-1839-48FA-A3D9-466380AF60AE}"/>
            </a:ext>
          </a:extLst>
        </xdr:cNvPr>
        <xdr:cNvSpPr/>
      </xdr:nvSpPr>
      <xdr:spPr>
        <a:xfrm>
          <a:off x="8572500" y="163068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4</xdr:col>
      <xdr:colOff>53340</xdr:colOff>
      <xdr:row>24</xdr:row>
      <xdr:rowOff>7620</xdr:rowOff>
    </xdr:from>
    <xdr:to>
      <xdr:col>4</xdr:col>
      <xdr:colOff>327660</xdr:colOff>
      <xdr:row>25</xdr:row>
      <xdr:rowOff>180880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5180C3-969F-4B51-886F-129040AF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63140" y="4366260"/>
          <a:ext cx="274320" cy="363760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9162D95B-8718-462E-92CB-3BE7C04EF0B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97040B58-34DD-4CA7-9F5E-A36123B47296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23108A65-2A97-40C1-8676-A142533B8B92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3834602E-3739-4A23-AADE-636F45F8629E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48B29CA-F6C6-4E9C-B783-36CE87239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FE3DE744-FD41-4E1C-AC42-F2E13D679570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93442527-4947-4571-8335-171E64E8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9BE927A-C598-4746-BE5E-D5EAE4A762A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F04B511-F8A7-4330-AF20-B8FCCF4258F9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44A03C46-826F-47C5-9AE8-DDDD6E96BC4C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551B4613-47AB-49BD-98CB-02896EF68EC6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C5748223-1690-4683-9421-14CD5D8AD4A5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20860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EF199D-39B5-4110-9FF8-3D4719A4A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4973D4-F387-4FC8-81A8-316A6238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10</xdr:col>
      <xdr:colOff>21530</xdr:colOff>
      <xdr:row>36</xdr:row>
      <xdr:rowOff>47053</xdr:rowOff>
    </xdr:from>
    <xdr:to>
      <xdr:col>10</xdr:col>
      <xdr:colOff>396243</xdr:colOff>
      <xdr:row>42</xdr:row>
      <xdr:rowOff>679512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0E6590C-F0AF-4892-944F-F8EB85FDA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914237" y="7315866"/>
          <a:ext cx="172973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240503</xdr:colOff>
      <xdr:row>34</xdr:row>
      <xdr:rowOff>68580</xdr:rowOff>
    </xdr:from>
    <xdr:to>
      <xdr:col>9</xdr:col>
      <xdr:colOff>510542</xdr:colOff>
      <xdr:row>42</xdr:row>
      <xdr:rowOff>768666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C6AAA30-72E8-4B07-B768-335A9FFE4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4262200" y="7240663"/>
          <a:ext cx="216312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240085</xdr:colOff>
      <xdr:row>31</xdr:row>
      <xdr:rowOff>6822</xdr:rowOff>
    </xdr:from>
    <xdr:to>
      <xdr:col>12</xdr:col>
      <xdr:colOff>485775</xdr:colOff>
      <xdr:row>42</xdr:row>
      <xdr:rowOff>788670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7A6D76-A94E-4235-AAF5-2D7F65B589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5881" b="71395"/>
        <a:stretch/>
      </xdr:blipFill>
      <xdr:spPr>
        <a:xfrm rot="16200000">
          <a:off x="5610806" y="6957641"/>
          <a:ext cx="279352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217179</xdr:colOff>
      <xdr:row>32</xdr:row>
      <xdr:rowOff>129542</xdr:rowOff>
    </xdr:from>
    <xdr:to>
      <xdr:col>11</xdr:col>
      <xdr:colOff>376532</xdr:colOff>
      <xdr:row>42</xdr:row>
      <xdr:rowOff>731520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A957E5-6685-4311-8F3E-339E147BAC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3193" t="6336" r="42544" b="83935"/>
        <a:stretch/>
      </xdr:blipFill>
      <xdr:spPr>
        <a:xfrm rot="16200000">
          <a:off x="5253667" y="7125034"/>
          <a:ext cx="243077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0" name="Flowchart: Terminator 19">
          <a:extLst>
            <a:ext uri="{FF2B5EF4-FFF2-40B4-BE49-F238E27FC236}">
              <a16:creationId xmlns:a16="http://schemas.microsoft.com/office/drawing/2014/main" id="{779783F6-7EF1-42EA-B10A-C21A23AD6DDE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137160</xdr:rowOff>
    </xdr:to>
    <xdr:pic>
      <xdr:nvPicPr>
        <xdr:cNvPr id="21" name="Graphic 20" descr="Share">
          <a:extLst>
            <a:ext uri="{FF2B5EF4-FFF2-40B4-BE49-F238E27FC236}">
              <a16:creationId xmlns:a16="http://schemas.microsoft.com/office/drawing/2014/main" id="{2296B25C-EA18-448C-A81E-3C408A9B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91440</xdr:rowOff>
    </xdr:from>
    <xdr:to>
      <xdr:col>16</xdr:col>
      <xdr:colOff>205740</xdr:colOff>
      <xdr:row>1</xdr:row>
      <xdr:rowOff>121920</xdr:rowOff>
    </xdr:to>
    <xdr:sp macro="" textlink="">
      <xdr:nvSpPr>
        <xdr:cNvPr id="23" name="Flowchart: Terminator 22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A440D8AD-539F-4663-9B44-A4537480B01F}"/>
            </a:ext>
          </a:extLst>
        </xdr:cNvPr>
        <xdr:cNvSpPr/>
      </xdr:nvSpPr>
      <xdr:spPr>
        <a:xfrm>
          <a:off x="88849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563880</xdr:colOff>
      <xdr:row>13</xdr:row>
      <xdr:rowOff>45720</xdr:rowOff>
    </xdr:from>
    <xdr:to>
      <xdr:col>10</xdr:col>
      <xdr:colOff>511702</xdr:colOff>
      <xdr:row>15</xdr:row>
      <xdr:rowOff>30480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4656F809-E373-4B83-B9A2-374C672F05E6}"/>
            </a:ext>
          </a:extLst>
        </xdr:cNvPr>
        <xdr:cNvSpPr/>
      </xdr:nvSpPr>
      <xdr:spPr>
        <a:xfrm>
          <a:off x="4328160" y="23088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BDFABEB-A792-4291-B0BD-453A67919211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7599AAD-13A6-4F66-8F51-5CC3E323D326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DE84DEF-E6C6-41EB-BB60-772691916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13D3B1CC-555B-42FE-B618-A4E5F185B639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Damaged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Insulation Cladding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369437B8-25C5-4690-A95E-161B8A733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E69FFE3F-BAD2-4BE6-B01D-6C7E35D2F063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EE62-4D3A-457B-B768-9548D2DAB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>
    <xdr:from>
      <xdr:col>14</xdr:col>
      <xdr:colOff>541020</xdr:colOff>
      <xdr:row>9</xdr:row>
      <xdr:rowOff>106680</xdr:rowOff>
    </xdr:from>
    <xdr:to>
      <xdr:col>16</xdr:col>
      <xdr:colOff>441960</xdr:colOff>
      <xdr:row>11</xdr:row>
      <xdr:rowOff>91440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357718BC-A11D-4653-B00D-D4BD3649840A}"/>
            </a:ext>
          </a:extLst>
        </xdr:cNvPr>
        <xdr:cNvSpPr/>
      </xdr:nvSpPr>
      <xdr:spPr>
        <a:xfrm>
          <a:off x="8557260" y="16078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541020</xdr:colOff>
      <xdr:row>9</xdr:row>
      <xdr:rowOff>22860</xdr:rowOff>
    </xdr:from>
    <xdr:to>
      <xdr:col>18</xdr:col>
      <xdr:colOff>60960</xdr:colOff>
      <xdr:row>11</xdr:row>
      <xdr:rowOff>152400</xdr:rowOff>
    </xdr:to>
    <xdr:pic>
      <xdr:nvPicPr>
        <xdr:cNvPr id="23" name="Graphic 22" descr="Share">
          <a:extLst>
            <a:ext uri="{FF2B5EF4-FFF2-40B4-BE49-F238E27FC236}">
              <a16:creationId xmlns:a16="http://schemas.microsoft.com/office/drawing/2014/main" id="{5FF9E2AD-A27D-4D77-A6E2-256C7DBD9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91440</xdr:colOff>
      <xdr:row>0</xdr:row>
      <xdr:rowOff>91440</xdr:rowOff>
    </xdr:from>
    <xdr:to>
      <xdr:col>16</xdr:col>
      <xdr:colOff>182880</xdr:colOff>
      <xdr:row>1</xdr:row>
      <xdr:rowOff>121920</xdr:rowOff>
    </xdr:to>
    <xdr:sp macro="" textlink="">
      <xdr:nvSpPr>
        <xdr:cNvPr id="21" name="Flowchart: Terminator 20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20C9706B-EFD8-4766-835E-33E76E7C0B86}"/>
            </a:ext>
          </a:extLst>
        </xdr:cNvPr>
        <xdr:cNvSpPr/>
      </xdr:nvSpPr>
      <xdr:spPr>
        <a:xfrm>
          <a:off x="88620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53340</xdr:colOff>
      <xdr:row>8</xdr:row>
      <xdr:rowOff>129540</xdr:rowOff>
    </xdr:from>
    <xdr:to>
      <xdr:col>22</xdr:col>
      <xdr:colOff>198120</xdr:colOff>
      <xdr:row>11</xdr:row>
      <xdr:rowOff>68580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5A166B8-68E8-4DE2-BC29-CE340661BD4C}"/>
            </a:ext>
          </a:extLst>
        </xdr:cNvPr>
        <xdr:cNvCxnSpPr/>
      </xdr:nvCxnSpPr>
      <xdr:spPr>
        <a:xfrm flipH="1">
          <a:off x="3817620" y="1440180"/>
          <a:ext cx="8961120" cy="5105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701040</xdr:colOff>
      <xdr:row>19</xdr:row>
      <xdr:rowOff>45720</xdr:rowOff>
    </xdr:from>
    <xdr:to>
      <xdr:col>21</xdr:col>
      <xdr:colOff>381000</xdr:colOff>
      <xdr:row>19</xdr:row>
      <xdr:rowOff>160020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BA6F5B2A-661C-43AB-8CC2-C1752A303B56}"/>
            </a:ext>
          </a:extLst>
        </xdr:cNvPr>
        <xdr:cNvCxnSpPr/>
      </xdr:nvCxnSpPr>
      <xdr:spPr>
        <a:xfrm flipH="1" flipV="1">
          <a:off x="8717280" y="3451860"/>
          <a:ext cx="3634740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220980</xdr:colOff>
      <xdr:row>19</xdr:row>
      <xdr:rowOff>137160</xdr:rowOff>
    </xdr:from>
    <xdr:to>
      <xdr:col>1</xdr:col>
      <xdr:colOff>342900</xdr:colOff>
      <xdr:row>20</xdr:row>
      <xdr:rowOff>91440</xdr:rowOff>
    </xdr:to>
    <xdr:sp macro="" textlink="">
      <xdr:nvSpPr>
        <xdr:cNvPr id="8" name="Flowchart: Connector 7">
          <a:extLst>
            <a:ext uri="{FF2B5EF4-FFF2-40B4-BE49-F238E27FC236}">
              <a16:creationId xmlns:a16="http://schemas.microsoft.com/office/drawing/2014/main" id="{D4D02CCE-822D-4E5D-8D3E-5B00ABE511E2}"/>
            </a:ext>
          </a:extLst>
        </xdr:cNvPr>
        <xdr:cNvSpPr/>
      </xdr:nvSpPr>
      <xdr:spPr>
        <a:xfrm>
          <a:off x="57912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220980</xdr:colOff>
      <xdr:row>21</xdr:row>
      <xdr:rowOff>144780</xdr:rowOff>
    </xdr:from>
    <xdr:to>
      <xdr:col>1</xdr:col>
      <xdr:colOff>342900</xdr:colOff>
      <xdr:row>22</xdr:row>
      <xdr:rowOff>99060</xdr:rowOff>
    </xdr:to>
    <xdr:sp macro="" textlink="">
      <xdr:nvSpPr>
        <xdr:cNvPr id="24" name="Flowchart: Connector 23">
          <a:extLst>
            <a:ext uri="{FF2B5EF4-FFF2-40B4-BE49-F238E27FC236}">
              <a16:creationId xmlns:a16="http://schemas.microsoft.com/office/drawing/2014/main" id="{238117C1-B1F4-42DB-9B68-85988ABAF45F}"/>
            </a:ext>
          </a:extLst>
        </xdr:cNvPr>
        <xdr:cNvSpPr/>
      </xdr:nvSpPr>
      <xdr:spPr>
        <a:xfrm>
          <a:off x="57912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213360</xdr:colOff>
      <xdr:row>23</xdr:row>
      <xdr:rowOff>121920</xdr:rowOff>
    </xdr:from>
    <xdr:to>
      <xdr:col>1</xdr:col>
      <xdr:colOff>335280</xdr:colOff>
      <xdr:row>24</xdr:row>
      <xdr:rowOff>76200</xdr:rowOff>
    </xdr:to>
    <xdr:sp macro="" textlink="">
      <xdr:nvSpPr>
        <xdr:cNvPr id="25" name="Flowchart: Connector 24">
          <a:extLst>
            <a:ext uri="{FF2B5EF4-FFF2-40B4-BE49-F238E27FC236}">
              <a16:creationId xmlns:a16="http://schemas.microsoft.com/office/drawing/2014/main" id="{16CF4201-A919-4D89-B85A-C9B4D2A35FBB}"/>
            </a:ext>
          </a:extLst>
        </xdr:cNvPr>
        <xdr:cNvSpPr/>
      </xdr:nvSpPr>
      <xdr:spPr>
        <a:xfrm>
          <a:off x="57150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228600</xdr:colOff>
      <xdr:row>25</xdr:row>
      <xdr:rowOff>129540</xdr:rowOff>
    </xdr:from>
    <xdr:to>
      <xdr:col>1</xdr:col>
      <xdr:colOff>350520</xdr:colOff>
      <xdr:row>26</xdr:row>
      <xdr:rowOff>83820</xdr:rowOff>
    </xdr:to>
    <xdr:sp macro="" textlink="">
      <xdr:nvSpPr>
        <xdr:cNvPr id="26" name="Flowchart: Connector 25">
          <a:extLst>
            <a:ext uri="{FF2B5EF4-FFF2-40B4-BE49-F238E27FC236}">
              <a16:creationId xmlns:a16="http://schemas.microsoft.com/office/drawing/2014/main" id="{77C20254-B1B3-4323-8905-9CB040C9F778}"/>
            </a:ext>
          </a:extLst>
        </xdr:cNvPr>
        <xdr:cNvSpPr/>
      </xdr:nvSpPr>
      <xdr:spPr>
        <a:xfrm>
          <a:off x="58674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342900</xdr:colOff>
      <xdr:row>19</xdr:row>
      <xdr:rowOff>137160</xdr:rowOff>
    </xdr:from>
    <xdr:to>
      <xdr:col>5</xdr:col>
      <xdr:colOff>38100</xdr:colOff>
      <xdr:row>20</xdr:row>
      <xdr:rowOff>91440</xdr:rowOff>
    </xdr:to>
    <xdr:sp macro="" textlink="">
      <xdr:nvSpPr>
        <xdr:cNvPr id="27" name="Flowchart: Connector 26">
          <a:extLst>
            <a:ext uri="{FF2B5EF4-FFF2-40B4-BE49-F238E27FC236}">
              <a16:creationId xmlns:a16="http://schemas.microsoft.com/office/drawing/2014/main" id="{4CE96544-EA73-4E0F-B387-D0BF0D9D1460}"/>
            </a:ext>
          </a:extLst>
        </xdr:cNvPr>
        <xdr:cNvSpPr/>
      </xdr:nvSpPr>
      <xdr:spPr>
        <a:xfrm>
          <a:off x="255270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335280</xdr:colOff>
      <xdr:row>23</xdr:row>
      <xdr:rowOff>121920</xdr:rowOff>
    </xdr:from>
    <xdr:to>
      <xdr:col>5</xdr:col>
      <xdr:colOff>30480</xdr:colOff>
      <xdr:row>24</xdr:row>
      <xdr:rowOff>76200</xdr:rowOff>
    </xdr:to>
    <xdr:sp macro="" textlink="">
      <xdr:nvSpPr>
        <xdr:cNvPr id="28" name="Flowchart: Connector 27">
          <a:extLst>
            <a:ext uri="{FF2B5EF4-FFF2-40B4-BE49-F238E27FC236}">
              <a16:creationId xmlns:a16="http://schemas.microsoft.com/office/drawing/2014/main" id="{B0D4D278-D918-491C-B351-952AE0003B39}"/>
            </a:ext>
          </a:extLst>
        </xdr:cNvPr>
        <xdr:cNvSpPr/>
      </xdr:nvSpPr>
      <xdr:spPr>
        <a:xfrm>
          <a:off x="254508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327660</xdr:colOff>
      <xdr:row>21</xdr:row>
      <xdr:rowOff>144780</xdr:rowOff>
    </xdr:from>
    <xdr:to>
      <xdr:col>5</xdr:col>
      <xdr:colOff>22860</xdr:colOff>
      <xdr:row>22</xdr:row>
      <xdr:rowOff>99060</xdr:rowOff>
    </xdr:to>
    <xdr:sp macro="" textlink="">
      <xdr:nvSpPr>
        <xdr:cNvPr id="29" name="Flowchart: Connector 28">
          <a:extLst>
            <a:ext uri="{FF2B5EF4-FFF2-40B4-BE49-F238E27FC236}">
              <a16:creationId xmlns:a16="http://schemas.microsoft.com/office/drawing/2014/main" id="{3369F566-8BBC-431C-A2C1-E8716D99CB89}"/>
            </a:ext>
          </a:extLst>
        </xdr:cNvPr>
        <xdr:cNvSpPr/>
      </xdr:nvSpPr>
      <xdr:spPr>
        <a:xfrm>
          <a:off x="253746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335280</xdr:colOff>
      <xdr:row>25</xdr:row>
      <xdr:rowOff>129540</xdr:rowOff>
    </xdr:from>
    <xdr:to>
      <xdr:col>5</xdr:col>
      <xdr:colOff>30480</xdr:colOff>
      <xdr:row>26</xdr:row>
      <xdr:rowOff>83820</xdr:rowOff>
    </xdr:to>
    <xdr:sp macro="" textlink="">
      <xdr:nvSpPr>
        <xdr:cNvPr id="30" name="Flowchart: Connector 29">
          <a:extLst>
            <a:ext uri="{FF2B5EF4-FFF2-40B4-BE49-F238E27FC236}">
              <a16:creationId xmlns:a16="http://schemas.microsoft.com/office/drawing/2014/main" id="{61F21B66-2630-411D-8D53-83F854DEC646}"/>
            </a:ext>
          </a:extLst>
        </xdr:cNvPr>
        <xdr:cNvSpPr/>
      </xdr:nvSpPr>
      <xdr:spPr>
        <a:xfrm>
          <a:off x="254508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106680</xdr:colOff>
      <xdr:row>17</xdr:row>
      <xdr:rowOff>106680</xdr:rowOff>
    </xdr:from>
    <xdr:to>
      <xdr:col>4</xdr:col>
      <xdr:colOff>182880</xdr:colOff>
      <xdr:row>26</xdr:row>
      <xdr:rowOff>144780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CEA9E97-6FF0-4743-95C5-12610CF25438}"/>
            </a:ext>
          </a:extLst>
        </xdr:cNvPr>
        <xdr:cNvSpPr/>
      </xdr:nvSpPr>
      <xdr:spPr>
        <a:xfrm>
          <a:off x="464820" y="3131820"/>
          <a:ext cx="1927860" cy="175260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304800</xdr:colOff>
      <xdr:row>17</xdr:row>
      <xdr:rowOff>106680</xdr:rowOff>
    </xdr:from>
    <xdr:to>
      <xdr:col>8</xdr:col>
      <xdr:colOff>76200</xdr:colOff>
      <xdr:row>26</xdr:row>
      <xdr:rowOff>144780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1E522643-6DBB-4413-9C01-E8379ABFDED9}"/>
            </a:ext>
          </a:extLst>
        </xdr:cNvPr>
        <xdr:cNvSpPr/>
      </xdr:nvSpPr>
      <xdr:spPr>
        <a:xfrm>
          <a:off x="2514600" y="3131820"/>
          <a:ext cx="1927860" cy="175260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</xdr:col>
      <xdr:colOff>845820</xdr:colOff>
      <xdr:row>25</xdr:row>
      <xdr:rowOff>99060</xdr:rowOff>
    </xdr:from>
    <xdr:to>
      <xdr:col>3</xdr:col>
      <xdr:colOff>533400</xdr:colOff>
      <xdr:row>26</xdr:row>
      <xdr:rowOff>114300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322A377-134F-455B-97FD-A59656857A86}"/>
            </a:ext>
          </a:extLst>
        </xdr:cNvPr>
        <xdr:cNvSpPr/>
      </xdr:nvSpPr>
      <xdr:spPr>
        <a:xfrm>
          <a:off x="1562100" y="464820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6</xdr:col>
      <xdr:colOff>381000</xdr:colOff>
      <xdr:row>25</xdr:row>
      <xdr:rowOff>83820</xdr:rowOff>
    </xdr:from>
    <xdr:to>
      <xdr:col>7</xdr:col>
      <xdr:colOff>358140</xdr:colOff>
      <xdr:row>26</xdr:row>
      <xdr:rowOff>99060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7075CBB-2E3D-43DB-9A53-6CFCAD6C80A4}"/>
            </a:ext>
          </a:extLst>
        </xdr:cNvPr>
        <xdr:cNvSpPr/>
      </xdr:nvSpPr>
      <xdr:spPr>
        <a:xfrm>
          <a:off x="3543300" y="463296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8</xdr:col>
      <xdr:colOff>372344</xdr:colOff>
      <xdr:row>24</xdr:row>
      <xdr:rowOff>106680</xdr:rowOff>
    </xdr:from>
    <xdr:to>
      <xdr:col>10</xdr:col>
      <xdr:colOff>457326</xdr:colOff>
      <xdr:row>26</xdr:row>
      <xdr:rowOff>121920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25D62FD3-B62C-416F-8657-AF45C3864EC7}"/>
            </a:ext>
          </a:extLst>
        </xdr:cNvPr>
        <xdr:cNvSpPr/>
      </xdr:nvSpPr>
      <xdr:spPr>
        <a:xfrm>
          <a:off x="4738604" y="4465320"/>
          <a:ext cx="1288942" cy="39624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/>
            <a:t>Others </a:t>
          </a:r>
          <a:endParaRPr lang="en-GB" sz="1050"/>
        </a:p>
      </xdr:txBody>
    </xdr:sp>
    <xdr:clientData/>
  </xdr:twoCellAnchor>
  <xdr:twoCellAnchor>
    <xdr:from>
      <xdr:col>8</xdr:col>
      <xdr:colOff>350520</xdr:colOff>
      <xdr:row>22</xdr:row>
      <xdr:rowOff>30480</xdr:rowOff>
    </xdr:from>
    <xdr:to>
      <xdr:col>10</xdr:col>
      <xdr:colOff>466733</xdr:colOff>
      <xdr:row>23</xdr:row>
      <xdr:rowOff>182880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6E846726-FBB8-43AD-AE07-10CD1805E976}"/>
            </a:ext>
          </a:extLst>
        </xdr:cNvPr>
        <xdr:cNvSpPr/>
      </xdr:nvSpPr>
      <xdr:spPr>
        <a:xfrm>
          <a:off x="4716780" y="4008120"/>
          <a:ext cx="1320173" cy="342900"/>
        </a:xfrm>
        <a:prstGeom prst="flowChartTerminator">
          <a:avLst/>
        </a:prstGeom>
        <a:solidFill>
          <a:schemeClr val="accent2">
            <a:lumMod val="40000"/>
            <a:lumOff val="6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</a:t>
          </a:r>
          <a:endParaRPr lang="en-GB" sz="1100"/>
        </a:p>
      </xdr:txBody>
    </xdr:sp>
    <xdr:clientData/>
  </xdr:twoCellAnchor>
  <xdr:twoCellAnchor>
    <xdr:from>
      <xdr:col>8</xdr:col>
      <xdr:colOff>358140</xdr:colOff>
      <xdr:row>19</xdr:row>
      <xdr:rowOff>160020</xdr:rowOff>
    </xdr:from>
    <xdr:to>
      <xdr:col>10</xdr:col>
      <xdr:colOff>474353</xdr:colOff>
      <xdr:row>21</xdr:row>
      <xdr:rowOff>121920</xdr:rowOff>
    </xdr:to>
    <xdr:sp macro="" textlink="">
      <xdr:nvSpPr>
        <xdr:cNvPr id="35" name="Flowchart: Terminator 34">
          <a:extLst>
            <a:ext uri="{FF2B5EF4-FFF2-40B4-BE49-F238E27FC236}">
              <a16:creationId xmlns:a16="http://schemas.microsoft.com/office/drawing/2014/main" id="{E71BE6BA-3E1A-448C-88C8-00DC97011113}"/>
            </a:ext>
          </a:extLst>
        </xdr:cNvPr>
        <xdr:cNvSpPr/>
      </xdr:nvSpPr>
      <xdr:spPr>
        <a:xfrm>
          <a:off x="4724400" y="3566160"/>
          <a:ext cx="1320173" cy="342900"/>
        </a:xfrm>
        <a:prstGeom prst="flowChartTerminator">
          <a:avLst/>
        </a:prstGeom>
        <a:solidFill>
          <a:srgbClr val="00B05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800"/>
            <a:t>Energy</a:t>
          </a:r>
          <a:r>
            <a:rPr lang="en-GB" sz="1800" baseline="0"/>
            <a:t> </a:t>
          </a:r>
          <a:endParaRPr lang="en-GB" sz="18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7424A4D-E4A0-4176-8D9E-32C95CCAF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twoCellAnchor>
    <xdr:from>
      <xdr:col>6</xdr:col>
      <xdr:colOff>723900</xdr:colOff>
      <xdr:row>10</xdr:row>
      <xdr:rowOff>144780</xdr:rowOff>
    </xdr:from>
    <xdr:to>
      <xdr:col>7</xdr:col>
      <xdr:colOff>213360</xdr:colOff>
      <xdr:row>10</xdr:row>
      <xdr:rowOff>152400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0368DAE-2B5D-428E-AD36-FCBBF83AC773}"/>
            </a:ext>
          </a:extLst>
        </xdr:cNvPr>
        <xdr:cNvCxnSpPr/>
      </xdr:nvCxnSpPr>
      <xdr:spPr>
        <a:xfrm flipV="1">
          <a:off x="4137660" y="27127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11</xdr:row>
      <xdr:rowOff>137160</xdr:rowOff>
    </xdr:from>
    <xdr:to>
      <xdr:col>7</xdr:col>
      <xdr:colOff>205740</xdr:colOff>
      <xdr:row>11</xdr:row>
      <xdr:rowOff>137160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7B5509A3-8EE4-45CE-95B7-BC916272B6DE}"/>
            </a:ext>
          </a:extLst>
        </xdr:cNvPr>
        <xdr:cNvCxnSpPr/>
      </xdr:nvCxnSpPr>
      <xdr:spPr>
        <a:xfrm>
          <a:off x="4107180" y="30099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12</xdr:row>
      <xdr:rowOff>144780</xdr:rowOff>
    </xdr:from>
    <xdr:to>
      <xdr:col>7</xdr:col>
      <xdr:colOff>213360</xdr:colOff>
      <xdr:row>12</xdr:row>
      <xdr:rowOff>152400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18C6B1D9-E0B7-4A2F-8C36-F31CDC1741B7}"/>
            </a:ext>
          </a:extLst>
        </xdr:cNvPr>
        <xdr:cNvCxnSpPr/>
      </xdr:nvCxnSpPr>
      <xdr:spPr>
        <a:xfrm flipV="1">
          <a:off x="4137660" y="33223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13</xdr:row>
      <xdr:rowOff>137160</xdr:rowOff>
    </xdr:from>
    <xdr:to>
      <xdr:col>7</xdr:col>
      <xdr:colOff>205740</xdr:colOff>
      <xdr:row>13</xdr:row>
      <xdr:rowOff>137160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599ECA1F-71AA-4286-9632-B868AD2BF802}"/>
            </a:ext>
          </a:extLst>
        </xdr:cNvPr>
        <xdr:cNvCxnSpPr/>
      </xdr:nvCxnSpPr>
      <xdr:spPr>
        <a:xfrm>
          <a:off x="4107180" y="36195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8</xdr:row>
      <xdr:rowOff>144780</xdr:rowOff>
    </xdr:from>
    <xdr:to>
      <xdr:col>7</xdr:col>
      <xdr:colOff>137160</xdr:colOff>
      <xdr:row>8</xdr:row>
      <xdr:rowOff>152400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186A54A9-7BAA-4E46-9B82-EEF3484B3877}"/>
            </a:ext>
          </a:extLst>
        </xdr:cNvPr>
        <xdr:cNvCxnSpPr/>
      </xdr:nvCxnSpPr>
      <xdr:spPr>
        <a:xfrm flipV="1">
          <a:off x="3802380" y="2118360"/>
          <a:ext cx="1524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9</xdr:row>
      <xdr:rowOff>137160</xdr:rowOff>
    </xdr:from>
    <xdr:to>
      <xdr:col>7</xdr:col>
      <xdr:colOff>205740</xdr:colOff>
      <xdr:row>9</xdr:row>
      <xdr:rowOff>137160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F4618A8-60BA-478A-AE21-96B9D7095424}"/>
            </a:ext>
          </a:extLst>
        </xdr:cNvPr>
        <xdr:cNvCxnSpPr/>
      </xdr:nvCxnSpPr>
      <xdr:spPr>
        <a:xfrm>
          <a:off x="4107180" y="240792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14</xdr:row>
      <xdr:rowOff>144780</xdr:rowOff>
    </xdr:from>
    <xdr:to>
      <xdr:col>7</xdr:col>
      <xdr:colOff>213360</xdr:colOff>
      <xdr:row>14</xdr:row>
      <xdr:rowOff>152400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227808AD-B6C6-4456-A478-2AAD7CB98A29}"/>
            </a:ext>
          </a:extLst>
        </xdr:cNvPr>
        <xdr:cNvCxnSpPr/>
      </xdr:nvCxnSpPr>
      <xdr:spPr>
        <a:xfrm flipV="1">
          <a:off x="4137660" y="3931920"/>
          <a:ext cx="228600" cy="7620"/>
        </a:xfrm>
        <a:prstGeom prst="straightConnector1">
          <a:avLst/>
        </a:prstGeom>
        <a:ln>
          <a:solidFill>
            <a:schemeClr val="bg1">
              <a:lumMod val="8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15</xdr:row>
      <xdr:rowOff>137160</xdr:rowOff>
    </xdr:from>
    <xdr:to>
      <xdr:col>7</xdr:col>
      <xdr:colOff>205740</xdr:colOff>
      <xdr:row>15</xdr:row>
      <xdr:rowOff>137160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45D688E8-97A7-4BAD-81DC-A61C6CA07144}"/>
            </a:ext>
          </a:extLst>
        </xdr:cNvPr>
        <xdr:cNvCxnSpPr/>
      </xdr:nvCxnSpPr>
      <xdr:spPr>
        <a:xfrm>
          <a:off x="4107180" y="4229100"/>
          <a:ext cx="251460" cy="0"/>
        </a:xfrm>
        <a:prstGeom prst="straightConnector1">
          <a:avLst/>
        </a:prstGeom>
        <a:ln>
          <a:solidFill>
            <a:schemeClr val="bg1">
              <a:lumMod val="8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281940</xdr:colOff>
      <xdr:row>8</xdr:row>
      <xdr:rowOff>137160</xdr:rowOff>
    </xdr:from>
    <xdr:ext cx="190500" cy="312420"/>
    <xdr:pic>
      <xdr:nvPicPr>
        <xdr:cNvPr id="38" name="Graphic 37" descr="Pencil">
          <a:extLst>
            <a:ext uri="{FF2B5EF4-FFF2-40B4-BE49-F238E27FC236}">
              <a16:creationId xmlns:a16="http://schemas.microsoft.com/office/drawing/2014/main" id="{C3EDB8FC-E2F7-4F38-B994-AC759F5FC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1544300" y="21107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548640</xdr:colOff>
      <xdr:row>8</xdr:row>
      <xdr:rowOff>144780</xdr:rowOff>
    </xdr:from>
    <xdr:ext cx="198120" cy="320040"/>
    <xdr:pic>
      <xdr:nvPicPr>
        <xdr:cNvPr id="39" name="Graphic 38" descr="Close">
          <a:extLst>
            <a:ext uri="{FF2B5EF4-FFF2-40B4-BE49-F238E27FC236}">
              <a16:creationId xmlns:a16="http://schemas.microsoft.com/office/drawing/2014/main" id="{AFBFC2EC-B9B6-45A7-BA4B-D0823BF1A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811000" y="2118360"/>
          <a:ext cx="198120" cy="320040"/>
        </a:xfrm>
        <a:prstGeom prst="rect">
          <a:avLst/>
        </a:prstGeom>
      </xdr:spPr>
    </xdr:pic>
    <xdr:clientData/>
  </xdr:oneCellAnchor>
  <xdr:twoCellAnchor>
    <xdr:from>
      <xdr:col>4</xdr:col>
      <xdr:colOff>15240</xdr:colOff>
      <xdr:row>6</xdr:row>
      <xdr:rowOff>106680</xdr:rowOff>
    </xdr:from>
    <xdr:to>
      <xdr:col>6</xdr:col>
      <xdr:colOff>53340</xdr:colOff>
      <xdr:row>16</xdr:row>
      <xdr:rowOff>38100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7D9669C3-C3A1-4800-8AF7-A1415456B1D1}"/>
            </a:ext>
          </a:extLst>
        </xdr:cNvPr>
        <xdr:cNvSpPr/>
      </xdr:nvSpPr>
      <xdr:spPr>
        <a:xfrm>
          <a:off x="2095500" y="1165860"/>
          <a:ext cx="1371600" cy="3268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137160</xdr:colOff>
      <xdr:row>6</xdr:row>
      <xdr:rowOff>106680</xdr:rowOff>
    </xdr:from>
    <xdr:to>
      <xdr:col>9</xdr:col>
      <xdr:colOff>15240</xdr:colOff>
      <xdr:row>16</xdr:row>
      <xdr:rowOff>38100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6B8090F6-CEDC-402E-A7E2-9EBEF301E765}"/>
            </a:ext>
          </a:extLst>
        </xdr:cNvPr>
        <xdr:cNvSpPr/>
      </xdr:nvSpPr>
      <xdr:spPr>
        <a:xfrm>
          <a:off x="3550920" y="1165860"/>
          <a:ext cx="1851660" cy="3268980"/>
        </a:xfrm>
        <a:prstGeom prst="rect">
          <a:avLst/>
        </a:prstGeom>
        <a:noFill/>
        <a:ln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251460</xdr:colOff>
      <xdr:row>18</xdr:row>
      <xdr:rowOff>15240</xdr:rowOff>
    </xdr:from>
    <xdr:to>
      <xdr:col>10</xdr:col>
      <xdr:colOff>7620</xdr:colOff>
      <xdr:row>21</xdr:row>
      <xdr:rowOff>266700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3EFBB512-0506-4D68-848B-FFBDC38F5D77}"/>
            </a:ext>
          </a:extLst>
        </xdr:cNvPr>
        <xdr:cNvSpPr/>
      </xdr:nvSpPr>
      <xdr:spPr>
        <a:xfrm>
          <a:off x="567146" y="4826726"/>
          <a:ext cx="4861560" cy="110054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20</xdr:col>
      <xdr:colOff>327660</xdr:colOff>
      <xdr:row>19</xdr:row>
      <xdr:rowOff>22860</xdr:rowOff>
    </xdr:from>
    <xdr:to>
      <xdr:col>21</xdr:col>
      <xdr:colOff>121920</xdr:colOff>
      <xdr:row>19</xdr:row>
      <xdr:rowOff>22860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C482A21C-C300-482E-94B3-5901854E3C0A}"/>
            </a:ext>
          </a:extLst>
        </xdr:cNvPr>
        <xdr:cNvCxnSpPr/>
      </xdr:nvCxnSpPr>
      <xdr:spPr>
        <a:xfrm>
          <a:off x="10850880" y="5113020"/>
          <a:ext cx="167640" cy="0"/>
        </a:xfrm>
        <a:prstGeom prst="straightConnector1">
          <a:avLst/>
        </a:prstGeom>
        <a:ln w="2222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335280</xdr:colOff>
      <xdr:row>21</xdr:row>
      <xdr:rowOff>7620</xdr:rowOff>
    </xdr:from>
    <xdr:to>
      <xdr:col>21</xdr:col>
      <xdr:colOff>129540</xdr:colOff>
      <xdr:row>21</xdr:row>
      <xdr:rowOff>15240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DA0E9DC3-28B6-4131-A670-B5580AB45129}"/>
            </a:ext>
          </a:extLst>
        </xdr:cNvPr>
        <xdr:cNvCxnSpPr/>
      </xdr:nvCxnSpPr>
      <xdr:spPr>
        <a:xfrm>
          <a:off x="10858500" y="5661660"/>
          <a:ext cx="167640" cy="7620"/>
        </a:xfrm>
        <a:prstGeom prst="straightConnector1">
          <a:avLst/>
        </a:prstGeom>
        <a:ln w="2222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22860</xdr:colOff>
      <xdr:row>8</xdr:row>
      <xdr:rowOff>137160</xdr:rowOff>
    </xdr:from>
    <xdr:to>
      <xdr:col>23</xdr:col>
      <xdr:colOff>231128</xdr:colOff>
      <xdr:row>9</xdr:row>
      <xdr:rowOff>174567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7F5CA7A-9528-48C7-9108-AFB3660FA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629"/>
        <a:stretch/>
      </xdr:blipFill>
      <xdr:spPr>
        <a:xfrm>
          <a:off x="11186160" y="2110740"/>
          <a:ext cx="307328" cy="334587"/>
        </a:xfrm>
        <a:prstGeom prst="rect">
          <a:avLst/>
        </a:prstGeom>
      </xdr:spPr>
    </xdr:pic>
    <xdr:clientData/>
  </xdr:twoCellAnchor>
  <xdr:oneCellAnchor>
    <xdr:from>
      <xdr:col>23</xdr:col>
      <xdr:colOff>304800</xdr:colOff>
      <xdr:row>10</xdr:row>
      <xdr:rowOff>114300</xdr:rowOff>
    </xdr:from>
    <xdr:ext cx="190500" cy="312420"/>
    <xdr:pic>
      <xdr:nvPicPr>
        <xdr:cNvPr id="25" name="Graphic 24" descr="Pencil">
          <a:extLst>
            <a:ext uri="{FF2B5EF4-FFF2-40B4-BE49-F238E27FC236}">
              <a16:creationId xmlns:a16="http://schemas.microsoft.com/office/drawing/2014/main" id="{B7344394-E3A6-42DF-936E-56FAD6044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1567160" y="26822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571500</xdr:colOff>
      <xdr:row>10</xdr:row>
      <xdr:rowOff>121920</xdr:rowOff>
    </xdr:from>
    <xdr:ext cx="198120" cy="320040"/>
    <xdr:pic>
      <xdr:nvPicPr>
        <xdr:cNvPr id="26" name="Graphic 25" descr="Close">
          <a:extLst>
            <a:ext uri="{FF2B5EF4-FFF2-40B4-BE49-F238E27FC236}">
              <a16:creationId xmlns:a16="http://schemas.microsoft.com/office/drawing/2014/main" id="{BAE57B10-CBB1-4BCB-A080-664305C7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833860" y="2689860"/>
          <a:ext cx="198120" cy="320040"/>
        </a:xfrm>
        <a:prstGeom prst="rect">
          <a:avLst/>
        </a:prstGeom>
      </xdr:spPr>
    </xdr:pic>
    <xdr:clientData/>
  </xdr:oneCellAnchor>
  <xdr:twoCellAnchor editAs="oneCell">
    <xdr:from>
      <xdr:col>22</xdr:col>
      <xdr:colOff>45720</xdr:colOff>
      <xdr:row>10</xdr:row>
      <xdr:rowOff>114300</xdr:rowOff>
    </xdr:from>
    <xdr:to>
      <xdr:col>23</xdr:col>
      <xdr:colOff>253988</xdr:colOff>
      <xdr:row>11</xdr:row>
      <xdr:rowOff>144087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1062B59-2330-43FA-B4F8-D4D221B0DD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629"/>
        <a:stretch/>
      </xdr:blipFill>
      <xdr:spPr>
        <a:xfrm>
          <a:off x="11209020" y="2682240"/>
          <a:ext cx="307328" cy="334587"/>
        </a:xfrm>
        <a:prstGeom prst="rect">
          <a:avLst/>
        </a:prstGeom>
      </xdr:spPr>
    </xdr:pic>
    <xdr:clientData/>
  </xdr:twoCellAnchor>
  <xdr:oneCellAnchor>
    <xdr:from>
      <xdr:col>23</xdr:col>
      <xdr:colOff>335280</xdr:colOff>
      <xdr:row>12</xdr:row>
      <xdr:rowOff>76200</xdr:rowOff>
    </xdr:from>
    <xdr:ext cx="190500" cy="312420"/>
    <xdr:pic>
      <xdr:nvPicPr>
        <xdr:cNvPr id="32" name="Graphic 31" descr="Pencil">
          <a:extLst>
            <a:ext uri="{FF2B5EF4-FFF2-40B4-BE49-F238E27FC236}">
              <a16:creationId xmlns:a16="http://schemas.microsoft.com/office/drawing/2014/main" id="{C0998502-2F2D-415E-BF83-E20799222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1597640" y="32537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601980</xdr:colOff>
      <xdr:row>12</xdr:row>
      <xdr:rowOff>83820</xdr:rowOff>
    </xdr:from>
    <xdr:ext cx="198120" cy="320040"/>
    <xdr:pic>
      <xdr:nvPicPr>
        <xdr:cNvPr id="35" name="Graphic 34" descr="Close">
          <a:extLst>
            <a:ext uri="{FF2B5EF4-FFF2-40B4-BE49-F238E27FC236}">
              <a16:creationId xmlns:a16="http://schemas.microsoft.com/office/drawing/2014/main" id="{8DFFB6B2-C7BA-4257-AD6A-CA6BF5BC7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864340" y="3261360"/>
          <a:ext cx="198120" cy="320040"/>
        </a:xfrm>
        <a:prstGeom prst="rect">
          <a:avLst/>
        </a:prstGeom>
      </xdr:spPr>
    </xdr:pic>
    <xdr:clientData/>
  </xdr:oneCellAnchor>
  <xdr:twoCellAnchor editAs="oneCell">
    <xdr:from>
      <xdr:col>22</xdr:col>
      <xdr:colOff>68580</xdr:colOff>
      <xdr:row>12</xdr:row>
      <xdr:rowOff>106680</xdr:rowOff>
    </xdr:from>
    <xdr:to>
      <xdr:col>23</xdr:col>
      <xdr:colOff>276848</xdr:colOff>
      <xdr:row>13</xdr:row>
      <xdr:rowOff>136467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A0EE1634-DFFA-456C-8541-3B56E09CFA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629"/>
        <a:stretch/>
      </xdr:blipFill>
      <xdr:spPr>
        <a:xfrm>
          <a:off x="11231880" y="3284220"/>
          <a:ext cx="307328" cy="334587"/>
        </a:xfrm>
        <a:prstGeom prst="rect">
          <a:avLst/>
        </a:prstGeom>
      </xdr:spPr>
    </xdr:pic>
    <xdr:clientData/>
  </xdr:twoCellAnchor>
  <xdr:oneCellAnchor>
    <xdr:from>
      <xdr:col>23</xdr:col>
      <xdr:colOff>335280</xdr:colOff>
      <xdr:row>14</xdr:row>
      <xdr:rowOff>114300</xdr:rowOff>
    </xdr:from>
    <xdr:ext cx="190500" cy="312420"/>
    <xdr:pic>
      <xdr:nvPicPr>
        <xdr:cNvPr id="45" name="Graphic 44" descr="Pencil">
          <a:extLst>
            <a:ext uri="{FF2B5EF4-FFF2-40B4-BE49-F238E27FC236}">
              <a16:creationId xmlns:a16="http://schemas.microsoft.com/office/drawing/2014/main" id="{707708E5-363D-42CF-B526-C5F3E15FD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1597640" y="39014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601980</xdr:colOff>
      <xdr:row>14</xdr:row>
      <xdr:rowOff>121920</xdr:rowOff>
    </xdr:from>
    <xdr:ext cx="198120" cy="320040"/>
    <xdr:pic>
      <xdr:nvPicPr>
        <xdr:cNvPr id="51" name="Graphic 50" descr="Close">
          <a:extLst>
            <a:ext uri="{FF2B5EF4-FFF2-40B4-BE49-F238E27FC236}">
              <a16:creationId xmlns:a16="http://schemas.microsoft.com/office/drawing/2014/main" id="{6328C213-C4C7-417A-916F-404863DB0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864340" y="3909060"/>
          <a:ext cx="198120" cy="320040"/>
        </a:xfrm>
        <a:prstGeom prst="rect">
          <a:avLst/>
        </a:prstGeom>
      </xdr:spPr>
    </xdr:pic>
    <xdr:clientData/>
  </xdr:oneCellAnchor>
  <xdr:twoCellAnchor editAs="oneCell">
    <xdr:from>
      <xdr:col>22</xdr:col>
      <xdr:colOff>76200</xdr:colOff>
      <xdr:row>14</xdr:row>
      <xdr:rowOff>114300</xdr:rowOff>
    </xdr:from>
    <xdr:to>
      <xdr:col>23</xdr:col>
      <xdr:colOff>284468</xdr:colOff>
      <xdr:row>15</xdr:row>
      <xdr:rowOff>144087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3F842FB4-CF59-4F01-BC15-678F17ADF7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629"/>
        <a:stretch/>
      </xdr:blipFill>
      <xdr:spPr>
        <a:xfrm>
          <a:off x="11239500" y="3901440"/>
          <a:ext cx="307328" cy="334587"/>
        </a:xfrm>
        <a:prstGeom prst="rect">
          <a:avLst/>
        </a:prstGeom>
      </xdr:spPr>
    </xdr:pic>
    <xdr:clientData/>
  </xdr:twoCellAnchor>
  <xdr:twoCellAnchor editAs="oneCell">
    <xdr:from>
      <xdr:col>0</xdr:col>
      <xdr:colOff>141514</xdr:colOff>
      <xdr:row>22</xdr:row>
      <xdr:rowOff>108857</xdr:rowOff>
    </xdr:from>
    <xdr:to>
      <xdr:col>25</xdr:col>
      <xdr:colOff>232234</xdr:colOff>
      <xdr:row>23</xdr:row>
      <xdr:rowOff>435428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67BB6CC1-B890-4878-BEBC-2B207D110B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910" b="23195"/>
        <a:stretch/>
      </xdr:blipFill>
      <xdr:spPr>
        <a:xfrm>
          <a:off x="141514" y="6052457"/>
          <a:ext cx="12587520" cy="48985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138290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085C40-F024-4678-BA32-A032D05FB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758BCCA9-B9E4-4794-A8D5-456882380248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6</xdr:row>
      <xdr:rowOff>160019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F58524-4818-4DE2-A0FA-D5FDA369F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1</xdr:row>
      <xdr:rowOff>121920</xdr:rowOff>
    </xdr:from>
    <xdr:to>
      <xdr:col>5</xdr:col>
      <xdr:colOff>409267</xdr:colOff>
      <xdr:row>3</xdr:row>
      <xdr:rowOff>3779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672D51-3C87-41E4-8CAF-EF9817DE4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" y="304800"/>
          <a:ext cx="2466667" cy="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B3333CB-72D3-4D0E-9CA1-A4DF134C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43635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1C2823-A79D-46AE-ACC1-8424DC0B7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121070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9951F8-CB7B-409F-8B8E-1D672CA5F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119626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3B0ED9-DF58-41A9-9568-337ABF9874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91441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98547B-E774-4A53-96AA-44B84309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137160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EEC2FD7-EFE4-404B-B1BC-D47F2AB7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129540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8E667FD-5E91-4782-B2BB-22FC49E3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15240</xdr:colOff>
      <xdr:row>11</xdr:row>
      <xdr:rowOff>30480</xdr:rowOff>
    </xdr:from>
    <xdr:to>
      <xdr:col>9</xdr:col>
      <xdr:colOff>480060</xdr:colOff>
      <xdr:row>14</xdr:row>
      <xdr:rowOff>136151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9764A2F-7FB9-4E04-A6A5-A3C3EF9A2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23360" y="2141220"/>
          <a:ext cx="998220" cy="63145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10</xdr:col>
      <xdr:colOff>38101</xdr:colOff>
      <xdr:row>67</xdr:row>
      <xdr:rowOff>68582</xdr:rowOff>
    </xdr:from>
    <xdr:to>
      <xdr:col>11</xdr:col>
      <xdr:colOff>0</xdr:colOff>
      <xdr:row>71</xdr:row>
      <xdr:rowOff>63624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B4CE08B-1DB2-4B8D-BCF3-1F87B1B05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13021" y="13860782"/>
          <a:ext cx="495299" cy="1305682"/>
        </a:xfrm>
        <a:prstGeom prst="rect">
          <a:avLst/>
        </a:prstGeom>
      </xdr:spPr>
    </xdr:pic>
    <xdr:clientData/>
  </xdr:twoCellAnchor>
  <xdr:twoCellAnchor editAs="oneCell">
    <xdr:from>
      <xdr:col>8</xdr:col>
      <xdr:colOff>514821</xdr:colOff>
      <xdr:row>68</xdr:row>
      <xdr:rowOff>38099</xdr:rowOff>
    </xdr:from>
    <xdr:to>
      <xdr:col>10</xdr:col>
      <xdr:colOff>15242</xdr:colOff>
      <xdr:row>70</xdr:row>
      <xdr:rowOff>609598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9DDC24D-45CA-480C-9AA6-0FB80E96F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6200000">
          <a:off x="4303632" y="14240108"/>
          <a:ext cx="100583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106685</xdr:colOff>
      <xdr:row>66</xdr:row>
      <xdr:rowOff>68579</xdr:rowOff>
    </xdr:from>
    <xdr:to>
      <xdr:col>12</xdr:col>
      <xdr:colOff>457207</xdr:colOff>
      <xdr:row>71</xdr:row>
      <xdr:rowOff>45970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A6F0B1A-A69C-4F02-AF19-EDAFC8597B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881" b="71395"/>
        <a:stretch/>
      </xdr:blipFill>
      <xdr:spPr>
        <a:xfrm rot="16200000">
          <a:off x="5680590" y="14230474"/>
          <a:ext cx="1486151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247657</xdr:colOff>
      <xdr:row>68</xdr:row>
      <xdr:rowOff>213360</xdr:rowOff>
    </xdr:from>
    <xdr:to>
      <xdr:col>11</xdr:col>
      <xdr:colOff>502926</xdr:colOff>
      <xdr:row>70</xdr:row>
      <xdr:rowOff>506732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655399-60CD-48BB-BA7D-AD571DC2F2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3193" t="6336" r="42544" b="83935"/>
        <a:stretch/>
      </xdr:blipFill>
      <xdr:spPr>
        <a:xfrm rot="16200000">
          <a:off x="5619756" y="14432281"/>
          <a:ext cx="727712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45</xdr:row>
      <xdr:rowOff>68581</xdr:rowOff>
    </xdr:from>
    <xdr:to>
      <xdr:col>2</xdr:col>
      <xdr:colOff>213360</xdr:colOff>
      <xdr:row>47</xdr:row>
      <xdr:rowOff>129541</xdr:rowOff>
    </xdr:to>
    <xdr:pic>
      <xdr:nvPicPr>
        <xdr:cNvPr id="38" name="Picture 3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20915A7C-06D2-4943-8EFF-8AB2800493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4629"/>
        <a:stretch/>
      </xdr:blipFill>
      <xdr:spPr>
        <a:xfrm>
          <a:off x="853440" y="112014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</xdr:row>
      <xdr:rowOff>68580</xdr:rowOff>
    </xdr:from>
    <xdr:to>
      <xdr:col>4</xdr:col>
      <xdr:colOff>0</xdr:colOff>
      <xdr:row>41</xdr:row>
      <xdr:rowOff>0</xdr:rowOff>
    </xdr:to>
    <xdr:sp macro="" textlink="">
      <xdr:nvSpPr>
        <xdr:cNvPr id="39" name="Rectangle: Top Corners One Rounded and One Snipped 38">
          <a:extLst>
            <a:ext uri="{FF2B5EF4-FFF2-40B4-BE49-F238E27FC236}">
              <a16:creationId xmlns:a16="http://schemas.microsoft.com/office/drawing/2014/main" id="{C3C6BF60-E229-4C4E-9CDA-4E977757185A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61</xdr:row>
      <xdr:rowOff>106680</xdr:rowOff>
    </xdr:from>
    <xdr:to>
      <xdr:col>10</xdr:col>
      <xdr:colOff>466182</xdr:colOff>
      <xdr:row>63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3DABD933-41C2-4AD8-A988-4F97167B6CE8}"/>
            </a:ext>
          </a:extLst>
        </xdr:cNvPr>
        <xdr:cNvSpPr/>
      </xdr:nvSpPr>
      <xdr:spPr>
        <a:xfrm>
          <a:off x="4678880" y="420624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58</xdr:row>
      <xdr:rowOff>91440</xdr:rowOff>
    </xdr:from>
    <xdr:to>
      <xdr:col>10</xdr:col>
      <xdr:colOff>449580</xdr:colOff>
      <xdr:row>60</xdr:row>
      <xdr:rowOff>91440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D70D4426-6CBB-4A7D-9007-6E0645851554}"/>
            </a:ext>
          </a:extLst>
        </xdr:cNvPr>
        <xdr:cNvSpPr/>
      </xdr:nvSpPr>
      <xdr:spPr>
        <a:xfrm>
          <a:off x="4654784" y="36195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55</xdr:row>
      <xdr:rowOff>91440</xdr:rowOff>
    </xdr:from>
    <xdr:to>
      <xdr:col>10</xdr:col>
      <xdr:colOff>413393</xdr:colOff>
      <xdr:row>57</xdr:row>
      <xdr:rowOff>83820</xdr:rowOff>
    </xdr:to>
    <xdr:sp macro="" textlink="">
      <xdr:nvSpPr>
        <xdr:cNvPr id="42" name="Flowchart: Terminator 41">
          <a:extLst>
            <a:ext uri="{FF2B5EF4-FFF2-40B4-BE49-F238E27FC236}">
              <a16:creationId xmlns:a16="http://schemas.microsoft.com/office/drawing/2014/main" id="{819EC541-9D17-43AC-8A18-00CC749CB13A}"/>
            </a:ext>
          </a:extLst>
        </xdr:cNvPr>
        <xdr:cNvSpPr/>
      </xdr:nvSpPr>
      <xdr:spPr>
        <a:xfrm>
          <a:off x="4671060" y="304800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52</xdr:row>
      <xdr:rowOff>38100</xdr:rowOff>
    </xdr:from>
    <xdr:to>
      <xdr:col>10</xdr:col>
      <xdr:colOff>436253</xdr:colOff>
      <xdr:row>54</xdr:row>
      <xdr:rowOff>30480</xdr:rowOff>
    </xdr:to>
    <xdr:sp macro="" textlink="">
      <xdr:nvSpPr>
        <xdr:cNvPr id="43" name="Flowchart: Terminator 42">
          <a:extLst>
            <a:ext uri="{FF2B5EF4-FFF2-40B4-BE49-F238E27FC236}">
              <a16:creationId xmlns:a16="http://schemas.microsoft.com/office/drawing/2014/main" id="{DE874291-243A-4421-BE28-CB76FEF06F6D}"/>
            </a:ext>
          </a:extLst>
        </xdr:cNvPr>
        <xdr:cNvSpPr/>
      </xdr:nvSpPr>
      <xdr:spPr>
        <a:xfrm>
          <a:off x="4693920" y="24231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45</xdr:row>
      <xdr:rowOff>53340</xdr:rowOff>
    </xdr:from>
    <xdr:to>
      <xdr:col>3</xdr:col>
      <xdr:colOff>441960</xdr:colOff>
      <xdr:row>47</xdr:row>
      <xdr:rowOff>129540</xdr:rowOff>
    </xdr:to>
    <xdr:pic>
      <xdr:nvPicPr>
        <xdr:cNvPr id="44" name="Graphic 43" descr="Open Folder">
          <a:extLst>
            <a:ext uri="{FF2B5EF4-FFF2-40B4-BE49-F238E27FC236}">
              <a16:creationId xmlns:a16="http://schemas.microsoft.com/office/drawing/2014/main" id="{6B3DCC42-C564-4986-A3D1-81D6C690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417320" y="110490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39</xdr:row>
      <xdr:rowOff>99060</xdr:rowOff>
    </xdr:from>
    <xdr:to>
      <xdr:col>18</xdr:col>
      <xdr:colOff>7620</xdr:colOff>
      <xdr:row>40</xdr:row>
      <xdr:rowOff>121920</xdr:rowOff>
    </xdr:to>
    <xdr:sp macro="" textlink="">
      <xdr:nvSpPr>
        <xdr:cNvPr id="45" name="Flowchart: Terminator 44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EDC19EF0-99BF-45B6-96BA-3DAC32050D94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39</xdr:row>
      <xdr:rowOff>91440</xdr:rowOff>
    </xdr:from>
    <xdr:to>
      <xdr:col>16</xdr:col>
      <xdr:colOff>160020</xdr:colOff>
      <xdr:row>40</xdr:row>
      <xdr:rowOff>121920</xdr:rowOff>
    </xdr:to>
    <xdr:sp macro="" textlink="">
      <xdr:nvSpPr>
        <xdr:cNvPr id="46" name="Flowchart: Terminator 4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452BFCD3-CAAB-464A-A79C-C2F4A31AB84E}"/>
            </a:ext>
          </a:extLst>
        </xdr:cNvPr>
        <xdr:cNvSpPr/>
      </xdr:nvSpPr>
      <xdr:spPr>
        <a:xfrm>
          <a:off x="908304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51</xdr:row>
      <xdr:rowOff>15240</xdr:rowOff>
    </xdr:from>
    <xdr:to>
      <xdr:col>4</xdr:col>
      <xdr:colOff>477353</xdr:colOff>
      <xdr:row>53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43BD8C2-9D50-4785-8EE8-5AB0C06F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 editAs="oneCell">
    <xdr:from>
      <xdr:col>4</xdr:col>
      <xdr:colOff>213361</xdr:colOff>
      <xdr:row>63</xdr:row>
      <xdr:rowOff>1</xdr:rowOff>
    </xdr:from>
    <xdr:to>
      <xdr:col>4</xdr:col>
      <xdr:colOff>502921</xdr:colOff>
      <xdr:row>64</xdr:row>
      <xdr:rowOff>165641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6D2D5DC-E0F5-4728-B2D1-050D7B2BD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67941" y="448056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62</xdr:row>
      <xdr:rowOff>175260</xdr:rowOff>
    </xdr:from>
    <xdr:to>
      <xdr:col>18</xdr:col>
      <xdr:colOff>366881</xdr:colOff>
      <xdr:row>66</xdr:row>
      <xdr:rowOff>112215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9C20259F-3483-412E-92F1-133A195D3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75</xdr:row>
      <xdr:rowOff>114300</xdr:rowOff>
    </xdr:from>
    <xdr:to>
      <xdr:col>13</xdr:col>
      <xdr:colOff>298855</xdr:colOff>
      <xdr:row>78</xdr:row>
      <xdr:rowOff>30480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09CE946-0D4E-4ACC-94F7-C74A55143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79</xdr:row>
      <xdr:rowOff>83820</xdr:rowOff>
    </xdr:from>
    <xdr:to>
      <xdr:col>12</xdr:col>
      <xdr:colOff>52494</xdr:colOff>
      <xdr:row>81</xdr:row>
      <xdr:rowOff>83820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80C7AF8-DCB7-4AA8-B714-353B8BD4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74</xdr:row>
      <xdr:rowOff>15240</xdr:rowOff>
    </xdr:from>
    <xdr:to>
      <xdr:col>19</xdr:col>
      <xdr:colOff>487680</xdr:colOff>
      <xdr:row>76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49664C67-D841-4E6E-B054-7A78EE071EB6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346363</xdr:colOff>
      <xdr:row>48</xdr:row>
      <xdr:rowOff>132311</xdr:rowOff>
    </xdr:from>
    <xdr:to>
      <xdr:col>16</xdr:col>
      <xdr:colOff>398318</xdr:colOff>
      <xdr:row>50</xdr:row>
      <xdr:rowOff>110144</xdr:rowOff>
    </xdr:to>
    <xdr:sp macro="" textlink="">
      <xdr:nvSpPr>
        <xdr:cNvPr id="61" name="Flowchart: Terminator 60">
          <a:extLst>
            <a:ext uri="{FF2B5EF4-FFF2-40B4-BE49-F238E27FC236}">
              <a16:creationId xmlns:a16="http://schemas.microsoft.com/office/drawing/2014/main" id="{BD72D4DC-C76C-443E-88D1-1DBD4E9C1470}"/>
            </a:ext>
          </a:extLst>
        </xdr:cNvPr>
        <xdr:cNvSpPr/>
      </xdr:nvSpPr>
      <xdr:spPr>
        <a:xfrm>
          <a:off x="8758843" y="1755371"/>
          <a:ext cx="1255915" cy="358833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CALCULATE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497378</xdr:colOff>
      <xdr:row>48</xdr:row>
      <xdr:rowOff>48491</xdr:rowOff>
    </xdr:from>
    <xdr:to>
      <xdr:col>18</xdr:col>
      <xdr:colOff>162098</xdr:colOff>
      <xdr:row>51</xdr:row>
      <xdr:rowOff>3464</xdr:rowOff>
    </xdr:to>
    <xdr:pic>
      <xdr:nvPicPr>
        <xdr:cNvPr id="62" name="Graphic 61" descr="Share">
          <a:extLst>
            <a:ext uri="{FF2B5EF4-FFF2-40B4-BE49-F238E27FC236}">
              <a16:creationId xmlns:a16="http://schemas.microsoft.com/office/drawing/2014/main" id="{063797AE-52D9-41A5-9164-9F8C353E0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0113818" y="1671551"/>
          <a:ext cx="510540" cy="50361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B4B768F-BE20-4D7E-8D6A-E2C81DDB41D3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80DD7B02-C24A-45EF-B08C-AAA6395CF3C7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D282C07-A825-4909-A529-BB273EA5B3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3C73B757-70E8-492E-A463-0604773E960A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Damaged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Cladding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81B77D43-7F8B-4C46-A443-397AD1AE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C2F026CF-699B-4684-8C21-305414BB8D8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AB3B79E3-2277-43FF-8E95-E6257A850927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B22D147-91DA-4419-A57E-75C0DA5A1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>
    <xdr:from>
      <xdr:col>7</xdr:col>
      <xdr:colOff>541020</xdr:colOff>
      <xdr:row>21</xdr:row>
      <xdr:rowOff>99060</xdr:rowOff>
    </xdr:from>
    <xdr:to>
      <xdr:col>10</xdr:col>
      <xdr:colOff>496336</xdr:colOff>
      <xdr:row>23</xdr:row>
      <xdr:rowOff>99060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4F2888A6-E60A-4A8D-927E-556240B1CB0E}"/>
            </a:ext>
          </a:extLst>
        </xdr:cNvPr>
        <xdr:cNvSpPr/>
      </xdr:nvSpPr>
      <xdr:spPr>
        <a:xfrm>
          <a:off x="4305300" y="38862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542056</xdr:colOff>
      <xdr:row>18</xdr:row>
      <xdr:rowOff>167640</xdr:rowOff>
    </xdr:from>
    <xdr:to>
      <xdr:col>10</xdr:col>
      <xdr:colOff>444909</xdr:colOff>
      <xdr:row>20</xdr:row>
      <xdr:rowOff>160020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480E44E9-5AC1-408B-B539-0940A00877C4}"/>
            </a:ext>
          </a:extLst>
        </xdr:cNvPr>
        <xdr:cNvSpPr/>
      </xdr:nvSpPr>
      <xdr:spPr>
        <a:xfrm>
          <a:off x="4306336" y="33832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572536</xdr:colOff>
      <xdr:row>16</xdr:row>
      <xdr:rowOff>30480</xdr:rowOff>
    </xdr:from>
    <xdr:to>
      <xdr:col>10</xdr:col>
      <xdr:colOff>475389</xdr:colOff>
      <xdr:row>18</xdr:row>
      <xdr:rowOff>22860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2EBD22BC-C10C-4468-999F-54FF2FED93C9}"/>
            </a:ext>
          </a:extLst>
        </xdr:cNvPr>
        <xdr:cNvSpPr/>
      </xdr:nvSpPr>
      <xdr:spPr>
        <a:xfrm>
          <a:off x="4336816" y="28651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541020</xdr:colOff>
      <xdr:row>9</xdr:row>
      <xdr:rowOff>106680</xdr:rowOff>
    </xdr:from>
    <xdr:to>
      <xdr:col>16</xdr:col>
      <xdr:colOff>441960</xdr:colOff>
      <xdr:row>11</xdr:row>
      <xdr:rowOff>91440</xdr:rowOff>
    </xdr:to>
    <xdr:sp macro="" textlink="">
      <xdr:nvSpPr>
        <xdr:cNvPr id="15" name="Flowchart: Terminator 14">
          <a:extLst>
            <a:ext uri="{FF2B5EF4-FFF2-40B4-BE49-F238E27FC236}">
              <a16:creationId xmlns:a16="http://schemas.microsoft.com/office/drawing/2014/main" id="{AA684A9F-913E-4BF6-970C-020A167C3D38}"/>
            </a:ext>
          </a:extLst>
        </xdr:cNvPr>
        <xdr:cNvSpPr/>
      </xdr:nvSpPr>
      <xdr:spPr>
        <a:xfrm>
          <a:off x="8557260" y="16078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541020</xdr:colOff>
      <xdr:row>9</xdr:row>
      <xdr:rowOff>22860</xdr:rowOff>
    </xdr:from>
    <xdr:to>
      <xdr:col>18</xdr:col>
      <xdr:colOff>60960</xdr:colOff>
      <xdr:row>11</xdr:row>
      <xdr:rowOff>167640</xdr:rowOff>
    </xdr:to>
    <xdr:pic>
      <xdr:nvPicPr>
        <xdr:cNvPr id="16" name="Graphic 15" descr="Share">
          <a:extLst>
            <a:ext uri="{FF2B5EF4-FFF2-40B4-BE49-F238E27FC236}">
              <a16:creationId xmlns:a16="http://schemas.microsoft.com/office/drawing/2014/main" id="{96D738CE-CF11-4A04-86E7-F19C531BA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17" name="Flowchart: Terminator 16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E9A2ECA-F55D-4C33-97AA-28DDB8949ECC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1175B99-5249-4661-BBDE-3F397D8B070A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53340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A767C2-8A5E-4DB1-9C24-B70745A37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55626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15</xdr:row>
      <xdr:rowOff>3117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76DD882-7F28-4DDB-8DB0-1D491F82D1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1068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EFDD6744-8073-4C90-AC07-60E6269E4085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Leakage</a:t>
          </a:r>
          <a:endParaRPr lang="en-GB" sz="1100"/>
        </a:p>
      </xdr:txBody>
    </xdr:sp>
    <xdr:clientData/>
  </xdr:twoCellAnchor>
  <xdr:twoCellAnchor>
    <xdr:from>
      <xdr:col>16</xdr:col>
      <xdr:colOff>533400</xdr:colOff>
      <xdr:row>1</xdr:row>
      <xdr:rowOff>22860</xdr:rowOff>
    </xdr:from>
    <xdr:to>
      <xdr:col>18</xdr:col>
      <xdr:colOff>175260</xdr:colOff>
      <xdr:row>2</xdr:row>
      <xdr:rowOff>22860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D37CE0E-12D7-4E4E-AE74-AB740AE200DE}"/>
            </a:ext>
          </a:extLst>
        </xdr:cNvPr>
        <xdr:cNvSpPr/>
      </xdr:nvSpPr>
      <xdr:spPr>
        <a:xfrm>
          <a:off x="8831580" y="20574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10</xdr:row>
      <xdr:rowOff>152400</xdr:rowOff>
    </xdr:from>
    <xdr:to>
      <xdr:col>0</xdr:col>
      <xdr:colOff>259080</xdr:colOff>
      <xdr:row>11</xdr:row>
      <xdr:rowOff>181122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E7526BD-50D8-4AC8-A045-18EF9B61A4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14300" y="1935480"/>
          <a:ext cx="144780" cy="333522"/>
        </a:xfrm>
        <a:prstGeom prst="rect">
          <a:avLst/>
        </a:prstGeom>
      </xdr:spPr>
    </xdr:pic>
    <xdr:clientData/>
  </xdr:twoCellAnchor>
  <xdr:twoCellAnchor>
    <xdr:from>
      <xdr:col>29</xdr:col>
      <xdr:colOff>342900</xdr:colOff>
      <xdr:row>20</xdr:row>
      <xdr:rowOff>243840</xdr:rowOff>
    </xdr:from>
    <xdr:to>
      <xdr:col>35</xdr:col>
      <xdr:colOff>106680</xdr:colOff>
      <xdr:row>22</xdr:row>
      <xdr:rowOff>182880</xdr:rowOff>
    </xdr:to>
    <xdr:sp macro="" textlink="">
      <xdr:nvSpPr>
        <xdr:cNvPr id="4" name="Flowchart: Terminator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188AD50-BE48-4DA5-B073-9259F9C006D7}"/>
            </a:ext>
          </a:extLst>
        </xdr:cNvPr>
        <xdr:cNvSpPr/>
      </xdr:nvSpPr>
      <xdr:spPr>
        <a:xfrm>
          <a:off x="9044940" y="3627120"/>
          <a:ext cx="2324100" cy="350520"/>
        </a:xfrm>
        <a:prstGeom prst="flowChartTerminator">
          <a:avLst/>
        </a:prstGeom>
        <a:solidFill>
          <a:schemeClr val="accent1">
            <a:lumMod val="75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TIPCHECK engineer list</a:t>
          </a:r>
          <a:r>
            <a:rPr lang="en-GB" sz="1600" b="1"/>
            <a:t> </a:t>
          </a:r>
          <a:r>
            <a:rPr lang="en-GB" sz="1100" b="1"/>
            <a:t> </a:t>
          </a:r>
        </a:p>
      </xdr:txBody>
    </xdr:sp>
    <xdr:clientData/>
  </xdr:twoCellAnchor>
  <xdr:twoCellAnchor>
    <xdr:from>
      <xdr:col>29</xdr:col>
      <xdr:colOff>327660</xdr:colOff>
      <xdr:row>22</xdr:row>
      <xdr:rowOff>266700</xdr:rowOff>
    </xdr:from>
    <xdr:to>
      <xdr:col>35</xdr:col>
      <xdr:colOff>106680</xdr:colOff>
      <xdr:row>24</xdr:row>
      <xdr:rowOff>76200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F2972C8B-0E18-40BF-9694-93D0E01E647B}"/>
            </a:ext>
          </a:extLst>
        </xdr:cNvPr>
        <xdr:cNvSpPr/>
      </xdr:nvSpPr>
      <xdr:spPr>
        <a:xfrm>
          <a:off x="9029700" y="4061460"/>
          <a:ext cx="2339340" cy="373380"/>
        </a:xfrm>
        <a:prstGeom prst="flowChartTerminator">
          <a:avLst/>
        </a:prstGeom>
        <a:solidFill>
          <a:schemeClr val="accent6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List for Insulation job</a:t>
          </a:r>
          <a:endParaRPr lang="en-GB" sz="1100" b="1"/>
        </a:p>
      </xdr:txBody>
    </xdr:sp>
    <xdr:clientData/>
  </xdr:twoCellAnchor>
  <xdr:twoCellAnchor editAs="oneCell">
    <xdr:from>
      <xdr:col>34</xdr:col>
      <xdr:colOff>434340</xdr:colOff>
      <xdr:row>10</xdr:row>
      <xdr:rowOff>152400</xdr:rowOff>
    </xdr:from>
    <xdr:to>
      <xdr:col>35</xdr:col>
      <xdr:colOff>22860</xdr:colOff>
      <xdr:row>11</xdr:row>
      <xdr:rowOff>167640</xdr:rowOff>
    </xdr:to>
    <xdr:pic>
      <xdr:nvPicPr>
        <xdr:cNvPr id="6" name="Graphic 5" descr="Close">
          <a:extLst>
            <a:ext uri="{FF2B5EF4-FFF2-40B4-BE49-F238E27FC236}">
              <a16:creationId xmlns:a16="http://schemas.microsoft.com/office/drawing/2014/main" id="{EA54108B-36D6-4A61-BA09-8F812DE0A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439400" y="1935480"/>
          <a:ext cx="198120" cy="320040"/>
        </a:xfrm>
        <a:prstGeom prst="rect">
          <a:avLst/>
        </a:prstGeom>
      </xdr:spPr>
    </xdr:pic>
    <xdr:clientData/>
  </xdr:twoCellAnchor>
  <xdr:twoCellAnchor editAs="oneCell">
    <xdr:from>
      <xdr:col>34</xdr:col>
      <xdr:colOff>144780</xdr:colOff>
      <xdr:row>10</xdr:row>
      <xdr:rowOff>152400</xdr:rowOff>
    </xdr:from>
    <xdr:to>
      <xdr:col>34</xdr:col>
      <xdr:colOff>335280</xdr:colOff>
      <xdr:row>11</xdr:row>
      <xdr:rowOff>160020</xdr:rowOff>
    </xdr:to>
    <xdr:pic>
      <xdr:nvPicPr>
        <xdr:cNvPr id="7" name="Graphic 6" descr="Pencil">
          <a:extLst>
            <a:ext uri="{FF2B5EF4-FFF2-40B4-BE49-F238E27FC236}">
              <a16:creationId xmlns:a16="http://schemas.microsoft.com/office/drawing/2014/main" id="{CF075C2C-ECAE-40B1-9B7C-581A6D7DA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149840" y="1935480"/>
          <a:ext cx="190500" cy="312420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12</xdr:row>
      <xdr:rowOff>114300</xdr:rowOff>
    </xdr:from>
    <xdr:to>
      <xdr:col>0</xdr:col>
      <xdr:colOff>251460</xdr:colOff>
      <xdr:row>13</xdr:row>
      <xdr:rowOff>143022</xdr:rowOff>
    </xdr:to>
    <xdr:pic>
      <xdr:nvPicPr>
        <xdr:cNvPr id="8" name="Picture 7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688FC22-9491-40F0-84B3-F2BB61FAB5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06980"/>
          <a:ext cx="144780" cy="333522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16</xdr:row>
      <xdr:rowOff>60960</xdr:rowOff>
    </xdr:from>
    <xdr:to>
      <xdr:col>0</xdr:col>
      <xdr:colOff>251460</xdr:colOff>
      <xdr:row>17</xdr:row>
      <xdr:rowOff>89682</xdr:rowOff>
    </xdr:to>
    <xdr:pic>
      <xdr:nvPicPr>
        <xdr:cNvPr id="9" name="Picture 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14EB607-7CBC-465D-B660-2F13DFF8D2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2984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18</xdr:row>
      <xdr:rowOff>53340</xdr:rowOff>
    </xdr:from>
    <xdr:to>
      <xdr:col>0</xdr:col>
      <xdr:colOff>266700</xdr:colOff>
      <xdr:row>19</xdr:row>
      <xdr:rowOff>82062</xdr:rowOff>
    </xdr:to>
    <xdr:pic>
      <xdr:nvPicPr>
        <xdr:cNvPr id="10" name="Picture 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8F8F947-C114-4B8C-A3E6-DCA8AE69AC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282702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34</xdr:col>
      <xdr:colOff>396240</xdr:colOff>
      <xdr:row>12</xdr:row>
      <xdr:rowOff>15240</xdr:rowOff>
    </xdr:from>
    <xdr:to>
      <xdr:col>34</xdr:col>
      <xdr:colOff>594360</xdr:colOff>
      <xdr:row>13</xdr:row>
      <xdr:rowOff>30480</xdr:rowOff>
    </xdr:to>
    <xdr:pic>
      <xdr:nvPicPr>
        <xdr:cNvPr id="12" name="Graphic 11" descr="Close">
          <a:extLst>
            <a:ext uri="{FF2B5EF4-FFF2-40B4-BE49-F238E27FC236}">
              <a16:creationId xmlns:a16="http://schemas.microsoft.com/office/drawing/2014/main" id="{048F48F3-B04B-436D-A997-0B238E8A6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49000" y="18745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106680</xdr:colOff>
      <xdr:row>12</xdr:row>
      <xdr:rowOff>15240</xdr:rowOff>
    </xdr:from>
    <xdr:to>
      <xdr:col>34</xdr:col>
      <xdr:colOff>297180</xdr:colOff>
      <xdr:row>13</xdr:row>
      <xdr:rowOff>22860</xdr:rowOff>
    </xdr:to>
    <xdr:pic>
      <xdr:nvPicPr>
        <xdr:cNvPr id="13" name="Graphic 12" descr="Pencil">
          <a:extLst>
            <a:ext uri="{FF2B5EF4-FFF2-40B4-BE49-F238E27FC236}">
              <a16:creationId xmlns:a16="http://schemas.microsoft.com/office/drawing/2014/main" id="{19DBA63C-22FB-4B46-B7B0-F1C3947AF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59440" y="18745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411480</xdr:colOff>
      <xdr:row>14</xdr:row>
      <xdr:rowOff>15240</xdr:rowOff>
    </xdr:from>
    <xdr:to>
      <xdr:col>35</xdr:col>
      <xdr:colOff>0</xdr:colOff>
      <xdr:row>15</xdr:row>
      <xdr:rowOff>30480</xdr:rowOff>
    </xdr:to>
    <xdr:pic>
      <xdr:nvPicPr>
        <xdr:cNvPr id="14" name="Graphic 13" descr="Close">
          <a:extLst>
            <a:ext uri="{FF2B5EF4-FFF2-40B4-BE49-F238E27FC236}">
              <a16:creationId xmlns:a16="http://schemas.microsoft.com/office/drawing/2014/main" id="{42A4A4FE-D5EC-45D8-9786-21AEBEDB3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1793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121920</xdr:colOff>
      <xdr:row>14</xdr:row>
      <xdr:rowOff>15240</xdr:rowOff>
    </xdr:from>
    <xdr:to>
      <xdr:col>34</xdr:col>
      <xdr:colOff>312420</xdr:colOff>
      <xdr:row>15</xdr:row>
      <xdr:rowOff>22860</xdr:rowOff>
    </xdr:to>
    <xdr:pic>
      <xdr:nvPicPr>
        <xdr:cNvPr id="15" name="Graphic 14" descr="Pencil">
          <a:extLst>
            <a:ext uri="{FF2B5EF4-FFF2-40B4-BE49-F238E27FC236}">
              <a16:creationId xmlns:a16="http://schemas.microsoft.com/office/drawing/2014/main" id="{B01C9DF1-9370-4887-9934-8AE0759FB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1793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411480</xdr:colOff>
      <xdr:row>16</xdr:row>
      <xdr:rowOff>0</xdr:rowOff>
    </xdr:from>
    <xdr:to>
      <xdr:col>35</xdr:col>
      <xdr:colOff>0</xdr:colOff>
      <xdr:row>17</xdr:row>
      <xdr:rowOff>15240</xdr:rowOff>
    </xdr:to>
    <xdr:pic>
      <xdr:nvPicPr>
        <xdr:cNvPr id="16" name="Graphic 15" descr="Close">
          <a:extLst>
            <a:ext uri="{FF2B5EF4-FFF2-40B4-BE49-F238E27FC236}">
              <a16:creationId xmlns:a16="http://schemas.microsoft.com/office/drawing/2014/main" id="{A71C7025-7FBD-41BB-8874-83D7857F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4688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121920</xdr:colOff>
      <xdr:row>16</xdr:row>
      <xdr:rowOff>0</xdr:rowOff>
    </xdr:from>
    <xdr:to>
      <xdr:col>34</xdr:col>
      <xdr:colOff>312420</xdr:colOff>
      <xdr:row>17</xdr:row>
      <xdr:rowOff>7620</xdr:rowOff>
    </xdr:to>
    <xdr:pic>
      <xdr:nvPicPr>
        <xdr:cNvPr id="17" name="Graphic 16" descr="Pencil">
          <a:extLst>
            <a:ext uri="{FF2B5EF4-FFF2-40B4-BE49-F238E27FC236}">
              <a16:creationId xmlns:a16="http://schemas.microsoft.com/office/drawing/2014/main" id="{25C36BF3-3953-4CB3-B9FD-223783732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4688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426720</xdr:colOff>
      <xdr:row>18</xdr:row>
      <xdr:rowOff>0</xdr:rowOff>
    </xdr:from>
    <xdr:to>
      <xdr:col>35</xdr:col>
      <xdr:colOff>15240</xdr:colOff>
      <xdr:row>19</xdr:row>
      <xdr:rowOff>15240</xdr:rowOff>
    </xdr:to>
    <xdr:pic>
      <xdr:nvPicPr>
        <xdr:cNvPr id="18" name="Graphic 17" descr="Close">
          <a:extLst>
            <a:ext uri="{FF2B5EF4-FFF2-40B4-BE49-F238E27FC236}">
              <a16:creationId xmlns:a16="http://schemas.microsoft.com/office/drawing/2014/main" id="{7CD38933-87F4-4DAF-89F2-FFF17242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480" y="27736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137160</xdr:colOff>
      <xdr:row>18</xdr:row>
      <xdr:rowOff>0</xdr:rowOff>
    </xdr:from>
    <xdr:to>
      <xdr:col>34</xdr:col>
      <xdr:colOff>327660</xdr:colOff>
      <xdr:row>19</xdr:row>
      <xdr:rowOff>7620</xdr:rowOff>
    </xdr:to>
    <xdr:pic>
      <xdr:nvPicPr>
        <xdr:cNvPr id="19" name="Graphic 18" descr="Pencil">
          <a:extLst>
            <a:ext uri="{FF2B5EF4-FFF2-40B4-BE49-F238E27FC236}">
              <a16:creationId xmlns:a16="http://schemas.microsoft.com/office/drawing/2014/main" id="{5C34DF24-2A86-4579-84AD-3DE2894E0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89920" y="27736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6DF9C-1C72-4345-A7E3-2B8FD5D9A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oneCellAnchor>
    <xdr:from>
      <xdr:col>34</xdr:col>
      <xdr:colOff>403860</xdr:colOff>
      <xdr:row>33</xdr:row>
      <xdr:rowOff>0</xdr:rowOff>
    </xdr:from>
    <xdr:ext cx="198120" cy="198120"/>
    <xdr:pic>
      <xdr:nvPicPr>
        <xdr:cNvPr id="22" name="Graphic 21" descr="Close">
          <a:extLst>
            <a:ext uri="{FF2B5EF4-FFF2-40B4-BE49-F238E27FC236}">
              <a16:creationId xmlns:a16="http://schemas.microsoft.com/office/drawing/2014/main" id="{401CA98F-8547-4EFA-8DD8-A7DABBFB1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893826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33</xdr:row>
      <xdr:rowOff>0</xdr:rowOff>
    </xdr:from>
    <xdr:ext cx="190500" cy="190500"/>
    <xdr:pic>
      <xdr:nvPicPr>
        <xdr:cNvPr id="23" name="Graphic 22" descr="Pencil">
          <a:extLst>
            <a:ext uri="{FF2B5EF4-FFF2-40B4-BE49-F238E27FC236}">
              <a16:creationId xmlns:a16="http://schemas.microsoft.com/office/drawing/2014/main" id="{8D4B43BC-C4D7-4CEB-9C2E-0095D9C8E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8938260"/>
          <a:ext cx="190500" cy="190500"/>
        </a:xfrm>
        <a:prstGeom prst="rect">
          <a:avLst/>
        </a:prstGeom>
      </xdr:spPr>
    </xdr:pic>
    <xdr:clientData/>
  </xdr:oneCellAnchor>
  <xdr:twoCellAnchor editAs="oneCell">
    <xdr:from>
      <xdr:col>0</xdr:col>
      <xdr:colOff>99060</xdr:colOff>
      <xdr:row>14</xdr:row>
      <xdr:rowOff>137160</xdr:rowOff>
    </xdr:from>
    <xdr:to>
      <xdr:col>0</xdr:col>
      <xdr:colOff>243840</xdr:colOff>
      <xdr:row>15</xdr:row>
      <xdr:rowOff>165882</xdr:rowOff>
    </xdr:to>
    <xdr:pic>
      <xdr:nvPicPr>
        <xdr:cNvPr id="24" name="Picture 2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A783FED-1545-4D64-B915-2316D26E90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99060" y="3733800"/>
          <a:ext cx="144780" cy="333522"/>
        </a:xfrm>
        <a:prstGeom prst="rect">
          <a:avLst/>
        </a:prstGeom>
      </xdr:spPr>
    </xdr:pic>
    <xdr:clientData/>
  </xdr:twoCellAnchor>
  <xdr:oneCellAnchor>
    <xdr:from>
      <xdr:col>34</xdr:col>
      <xdr:colOff>403860</xdr:colOff>
      <xdr:row>29</xdr:row>
      <xdr:rowOff>0</xdr:rowOff>
    </xdr:from>
    <xdr:ext cx="198120" cy="198120"/>
    <xdr:pic>
      <xdr:nvPicPr>
        <xdr:cNvPr id="26" name="Graphic 25" descr="Close">
          <a:extLst>
            <a:ext uri="{FF2B5EF4-FFF2-40B4-BE49-F238E27FC236}">
              <a16:creationId xmlns:a16="http://schemas.microsoft.com/office/drawing/2014/main" id="{B1EFA997-4A5C-4B74-A2A4-6A99FCCA8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621792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29</xdr:row>
      <xdr:rowOff>0</xdr:rowOff>
    </xdr:from>
    <xdr:ext cx="190500" cy="190500"/>
    <xdr:pic>
      <xdr:nvPicPr>
        <xdr:cNvPr id="27" name="Graphic 26" descr="Pencil">
          <a:extLst>
            <a:ext uri="{FF2B5EF4-FFF2-40B4-BE49-F238E27FC236}">
              <a16:creationId xmlns:a16="http://schemas.microsoft.com/office/drawing/2014/main" id="{1E07D2CC-108D-4310-BC6B-DC74071DD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6217920"/>
          <a:ext cx="190500" cy="190500"/>
        </a:xfrm>
        <a:prstGeom prst="rect">
          <a:avLst/>
        </a:prstGeom>
      </xdr:spPr>
    </xdr:pic>
    <xdr:clientData/>
  </xdr:oneCellAnchor>
  <xdr:oneCellAnchor>
    <xdr:from>
      <xdr:col>34</xdr:col>
      <xdr:colOff>403860</xdr:colOff>
      <xdr:row>33</xdr:row>
      <xdr:rowOff>0</xdr:rowOff>
    </xdr:from>
    <xdr:ext cx="198120" cy="198120"/>
    <xdr:pic>
      <xdr:nvPicPr>
        <xdr:cNvPr id="30" name="Graphic 29" descr="Close">
          <a:extLst>
            <a:ext uri="{FF2B5EF4-FFF2-40B4-BE49-F238E27FC236}">
              <a16:creationId xmlns:a16="http://schemas.microsoft.com/office/drawing/2014/main" id="{14202CA7-FD6C-47B0-9FD6-A32F87DFE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1086612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33</xdr:row>
      <xdr:rowOff>0</xdr:rowOff>
    </xdr:from>
    <xdr:ext cx="190500" cy="190500"/>
    <xdr:pic>
      <xdr:nvPicPr>
        <xdr:cNvPr id="31" name="Graphic 30" descr="Pencil">
          <a:extLst>
            <a:ext uri="{FF2B5EF4-FFF2-40B4-BE49-F238E27FC236}">
              <a16:creationId xmlns:a16="http://schemas.microsoft.com/office/drawing/2014/main" id="{E95A700E-F354-4824-A034-982C4A17F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10866120"/>
          <a:ext cx="190500" cy="190500"/>
        </a:xfrm>
        <a:prstGeom prst="rect">
          <a:avLst/>
        </a:prstGeom>
      </xdr:spPr>
    </xdr:pic>
    <xdr:clientData/>
  </xdr:oneCellAnchor>
  <xdr:twoCellAnchor>
    <xdr:from>
      <xdr:col>9</xdr:col>
      <xdr:colOff>7620</xdr:colOff>
      <xdr:row>6</xdr:row>
      <xdr:rowOff>152400</xdr:rowOff>
    </xdr:from>
    <xdr:to>
      <xdr:col>13</xdr:col>
      <xdr:colOff>15240</xdr:colOff>
      <xdr:row>19</xdr:row>
      <xdr:rowOff>266700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06D6DB6-946A-43EA-8651-1422BEE98F9E}"/>
            </a:ext>
          </a:extLst>
        </xdr:cNvPr>
        <xdr:cNvSpPr/>
      </xdr:nvSpPr>
      <xdr:spPr>
        <a:xfrm>
          <a:off x="2087880" y="1242060"/>
          <a:ext cx="2499360" cy="35509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647700</xdr:colOff>
      <xdr:row>10</xdr:row>
      <xdr:rowOff>160020</xdr:rowOff>
    </xdr:from>
    <xdr:to>
      <xdr:col>11</xdr:col>
      <xdr:colOff>137160</xdr:colOff>
      <xdr:row>10</xdr:row>
      <xdr:rowOff>167640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80A8D0D2-5474-4F1B-96ED-30B2CF917BC3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11</xdr:row>
      <xdr:rowOff>152400</xdr:rowOff>
    </xdr:from>
    <xdr:to>
      <xdr:col>11</xdr:col>
      <xdr:colOff>129540</xdr:colOff>
      <xdr:row>11</xdr:row>
      <xdr:rowOff>152400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FB4BA455-4FDD-424E-B862-B7A09F6C8DC1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647700</xdr:colOff>
      <xdr:row>12</xdr:row>
      <xdr:rowOff>160020</xdr:rowOff>
    </xdr:from>
    <xdr:to>
      <xdr:col>11</xdr:col>
      <xdr:colOff>137160</xdr:colOff>
      <xdr:row>12</xdr:row>
      <xdr:rowOff>167640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269CE69-2AB9-4D9D-A6D8-659A9AE6557A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13</xdr:row>
      <xdr:rowOff>152400</xdr:rowOff>
    </xdr:from>
    <xdr:to>
      <xdr:col>11</xdr:col>
      <xdr:colOff>129540</xdr:colOff>
      <xdr:row>13</xdr:row>
      <xdr:rowOff>152400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6E785AEA-2A90-47AE-8251-0BE3B155F2EC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34</xdr:col>
      <xdr:colOff>434340</xdr:colOff>
      <xdr:row>8</xdr:row>
      <xdr:rowOff>152400</xdr:rowOff>
    </xdr:from>
    <xdr:ext cx="198120" cy="320040"/>
    <xdr:pic>
      <xdr:nvPicPr>
        <xdr:cNvPr id="48" name="Graphic 47" descr="Close">
          <a:extLst>
            <a:ext uri="{FF2B5EF4-FFF2-40B4-BE49-F238E27FC236}">
              <a16:creationId xmlns:a16="http://schemas.microsoft.com/office/drawing/2014/main" id="{606B933B-3FA1-4983-A0EE-32BE6FE95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170920" y="2362200"/>
          <a:ext cx="198120" cy="320040"/>
        </a:xfrm>
        <a:prstGeom prst="rect">
          <a:avLst/>
        </a:prstGeom>
      </xdr:spPr>
    </xdr:pic>
    <xdr:clientData/>
  </xdr:oneCellAnchor>
  <xdr:oneCellAnchor>
    <xdr:from>
      <xdr:col>34</xdr:col>
      <xdr:colOff>144780</xdr:colOff>
      <xdr:row>8</xdr:row>
      <xdr:rowOff>152400</xdr:rowOff>
    </xdr:from>
    <xdr:ext cx="190500" cy="312420"/>
    <xdr:pic>
      <xdr:nvPicPr>
        <xdr:cNvPr id="49" name="Graphic 48" descr="Pencil">
          <a:extLst>
            <a:ext uri="{FF2B5EF4-FFF2-40B4-BE49-F238E27FC236}">
              <a16:creationId xmlns:a16="http://schemas.microsoft.com/office/drawing/2014/main" id="{33D246CF-9CBC-408A-8EB3-2584E9B6C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881360" y="2362200"/>
          <a:ext cx="190500" cy="312420"/>
        </a:xfrm>
        <a:prstGeom prst="rect">
          <a:avLst/>
        </a:prstGeom>
      </xdr:spPr>
    </xdr:pic>
    <xdr:clientData/>
  </xdr:oneCellAnchor>
  <xdr:twoCellAnchor>
    <xdr:from>
      <xdr:col>10</xdr:col>
      <xdr:colOff>647700</xdr:colOff>
      <xdr:row>8</xdr:row>
      <xdr:rowOff>160020</xdr:rowOff>
    </xdr:from>
    <xdr:to>
      <xdr:col>11</xdr:col>
      <xdr:colOff>137160</xdr:colOff>
      <xdr:row>8</xdr:row>
      <xdr:rowOff>167640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552764E-8E0F-4782-BA44-197848743671}"/>
            </a:ext>
          </a:extLst>
        </xdr:cNvPr>
        <xdr:cNvCxnSpPr/>
      </xdr:nvCxnSpPr>
      <xdr:spPr>
        <a:xfrm flipV="1">
          <a:off x="3810000" y="23698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9</xdr:row>
      <xdr:rowOff>152400</xdr:rowOff>
    </xdr:from>
    <xdr:to>
      <xdr:col>11</xdr:col>
      <xdr:colOff>129540</xdr:colOff>
      <xdr:row>9</xdr:row>
      <xdr:rowOff>152400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F9C197F9-9595-402A-9AB0-99A6F935098F}"/>
            </a:ext>
          </a:extLst>
        </xdr:cNvPr>
        <xdr:cNvCxnSpPr/>
      </xdr:nvCxnSpPr>
      <xdr:spPr>
        <a:xfrm>
          <a:off x="3779520" y="26670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106680</xdr:colOff>
      <xdr:row>8</xdr:row>
      <xdr:rowOff>144780</xdr:rowOff>
    </xdr:from>
    <xdr:to>
      <xdr:col>0</xdr:col>
      <xdr:colOff>251460</xdr:colOff>
      <xdr:row>9</xdr:row>
      <xdr:rowOff>181122</xdr:rowOff>
    </xdr:to>
    <xdr:pic>
      <xdr:nvPicPr>
        <xdr:cNvPr id="52" name="Picture 5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C4F5F1D-11E0-4204-B62C-90AD9A01CE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1927860"/>
          <a:ext cx="144780" cy="333522"/>
        </a:xfrm>
        <a:prstGeom prst="rect">
          <a:avLst/>
        </a:prstGeom>
      </xdr:spPr>
    </xdr:pic>
    <xdr:clientData/>
  </xdr:twoCellAnchor>
  <xdr:twoCellAnchor>
    <xdr:from>
      <xdr:col>10</xdr:col>
      <xdr:colOff>647700</xdr:colOff>
      <xdr:row>14</xdr:row>
      <xdr:rowOff>160020</xdr:rowOff>
    </xdr:from>
    <xdr:to>
      <xdr:col>11</xdr:col>
      <xdr:colOff>137160</xdr:colOff>
      <xdr:row>14</xdr:row>
      <xdr:rowOff>167640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8FECF573-18F9-4DAD-AB37-F948B1A38E37}"/>
            </a:ext>
          </a:extLst>
        </xdr:cNvPr>
        <xdr:cNvCxnSpPr/>
      </xdr:nvCxnSpPr>
      <xdr:spPr>
        <a:xfrm flipV="1">
          <a:off x="4191000" y="314706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15</xdr:row>
      <xdr:rowOff>152400</xdr:rowOff>
    </xdr:from>
    <xdr:to>
      <xdr:col>11</xdr:col>
      <xdr:colOff>129540</xdr:colOff>
      <xdr:row>15</xdr:row>
      <xdr:rowOff>152400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EC640102-B597-4503-BF02-6C23E984EEF7}"/>
            </a:ext>
          </a:extLst>
        </xdr:cNvPr>
        <xdr:cNvCxnSpPr/>
      </xdr:nvCxnSpPr>
      <xdr:spPr>
        <a:xfrm>
          <a:off x="4160520" y="344424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433280B8-DB4F-4B26-A6FE-EB993805A948}"/>
            </a:ext>
          </a:extLst>
        </xdr:cNvPr>
        <xdr:cNvSpPr txBox="1"/>
      </xdr:nvSpPr>
      <xdr:spPr>
        <a:xfrm>
          <a:off x="13016488" y="534221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259080</xdr:colOff>
      <xdr:row>2</xdr:row>
      <xdr:rowOff>38100</xdr:rowOff>
    </xdr:from>
    <xdr:to>
      <xdr:col>18</xdr:col>
      <xdr:colOff>114300</xdr:colOff>
      <xdr:row>21</xdr:row>
      <xdr:rowOff>10503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8FA8B1B-865D-417B-8458-47CE00545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7220" y="434340"/>
          <a:ext cx="8839200" cy="3249003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342900</xdr:colOff>
      <xdr:row>15</xdr:row>
      <xdr:rowOff>105001</xdr:rowOff>
    </xdr:from>
    <xdr:to>
      <xdr:col>19</xdr:col>
      <xdr:colOff>121920</xdr:colOff>
      <xdr:row>24</xdr:row>
      <xdr:rowOff>68580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2BCD56-54F9-460A-BB72-02D5BE7D5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" y="3153001"/>
          <a:ext cx="9265920" cy="1548539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  <xdr:twoCellAnchor>
    <xdr:from>
      <xdr:col>24</xdr:col>
      <xdr:colOff>458728</xdr:colOff>
      <xdr:row>33</xdr:row>
      <xdr:rowOff>23453</xdr:rowOff>
    </xdr:from>
    <xdr:to>
      <xdr:col>27</xdr:col>
      <xdr:colOff>198110</xdr:colOff>
      <xdr:row>36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CBB324F2-5075-48F7-87E9-A4765802F958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16</xdr:col>
      <xdr:colOff>373380</xdr:colOff>
      <xdr:row>2</xdr:row>
      <xdr:rowOff>76199</xdr:rowOff>
    </xdr:from>
    <xdr:to>
      <xdr:col>17</xdr:col>
      <xdr:colOff>388620</xdr:colOff>
      <xdr:row>6</xdr:row>
      <xdr:rowOff>79716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65B6CF-38B9-4AF3-B764-7A8A490020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8671560" y="472439"/>
          <a:ext cx="624840" cy="696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236220</xdr:colOff>
      <xdr:row>7</xdr:row>
      <xdr:rowOff>182880</xdr:rowOff>
    </xdr:from>
    <xdr:to>
      <xdr:col>15</xdr:col>
      <xdr:colOff>531281</xdr:colOff>
      <xdr:row>9</xdr:row>
      <xdr:rowOff>54853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514E167-1DEE-4391-B0A5-55A931F5E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0" y="147828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243840</xdr:colOff>
      <xdr:row>9</xdr:row>
      <xdr:rowOff>182880</xdr:rowOff>
    </xdr:from>
    <xdr:to>
      <xdr:col>15</xdr:col>
      <xdr:colOff>538901</xdr:colOff>
      <xdr:row>11</xdr:row>
      <xdr:rowOff>39613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ED2A04F-7BCC-4EF6-8AE0-345F154A9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0" y="190500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236221</xdr:colOff>
      <xdr:row>11</xdr:row>
      <xdr:rowOff>144780</xdr:rowOff>
    </xdr:from>
    <xdr:to>
      <xdr:col>15</xdr:col>
      <xdr:colOff>525781</xdr:colOff>
      <xdr:row>13</xdr:row>
      <xdr:rowOff>1513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D872D6-5BF8-4329-91A6-4AD0FB24E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1" y="23088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243841</xdr:colOff>
      <xdr:row>13</xdr:row>
      <xdr:rowOff>160020</xdr:rowOff>
    </xdr:from>
    <xdr:to>
      <xdr:col>15</xdr:col>
      <xdr:colOff>533401</xdr:colOff>
      <xdr:row>15</xdr:row>
      <xdr:rowOff>16753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AAD251-C0C1-45C5-819D-E8F13B0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1" y="27660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10</xdr:col>
      <xdr:colOff>7621</xdr:colOff>
      <xdr:row>7</xdr:row>
      <xdr:rowOff>181554</xdr:rowOff>
    </xdr:from>
    <xdr:to>
      <xdr:col>10</xdr:col>
      <xdr:colOff>327661</xdr:colOff>
      <xdr:row>9</xdr:row>
      <xdr:rowOff>26496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7A161A-3125-41EB-BE44-71AC4469A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74921" y="14769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15241</xdr:colOff>
      <xdr:row>9</xdr:row>
      <xdr:rowOff>219654</xdr:rowOff>
    </xdr:from>
    <xdr:to>
      <xdr:col>10</xdr:col>
      <xdr:colOff>335281</xdr:colOff>
      <xdr:row>11</xdr:row>
      <xdr:rowOff>49356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CA0CC0-7807-48C4-A458-ECE829CD2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82541" y="194177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30481</xdr:colOff>
      <xdr:row>12</xdr:row>
      <xdr:rowOff>6294</xdr:rowOff>
    </xdr:from>
    <xdr:to>
      <xdr:col>10</xdr:col>
      <xdr:colOff>350521</xdr:colOff>
      <xdr:row>13</xdr:row>
      <xdr:rowOff>56976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443273-386D-4022-88A8-3EFF83949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7781" y="23913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38101</xdr:colOff>
      <xdr:row>13</xdr:row>
      <xdr:rowOff>219654</xdr:rowOff>
    </xdr:from>
    <xdr:to>
      <xdr:col>10</xdr:col>
      <xdr:colOff>358141</xdr:colOff>
      <xdr:row>15</xdr:row>
      <xdr:rowOff>49356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5F5E8D7-25A2-4027-A5A4-962BC294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5401" y="2825694"/>
          <a:ext cx="320040" cy="27166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E0DA0F23-27FE-4EB0-BC78-6882F57C1B26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36015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DAB8AC-A0DD-4CBE-927B-7ACFDB04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168770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504CDCE-6C06-4B86-8D88-FFCEFDD58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25E1519-8F39-49B4-BCF9-109504B8CE7F}"/>
            </a:ext>
          </a:extLst>
        </xdr:cNvPr>
        <xdr:cNvSpPr txBox="1"/>
      </xdr:nvSpPr>
      <xdr:spPr>
        <a:xfrm>
          <a:off x="13016488" y="515933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7</xdr:row>
      <xdr:rowOff>7619</xdr:rowOff>
    </xdr:to>
    <xdr:pic>
      <xdr:nvPicPr>
        <xdr:cNvPr id="4" name="Picture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ED4CC60-DFFB-4620-8293-6B3D15541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10</xdr:row>
      <xdr:rowOff>137160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DC6A61-C375-401F-B13F-922712C03A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5535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684A7A-DAB8-4CB2-8C1D-C6F58079E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0872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129541</xdr:colOff>
      <xdr:row>17</xdr:row>
      <xdr:rowOff>213361</xdr:rowOff>
    </xdr:from>
    <xdr:to>
      <xdr:col>4</xdr:col>
      <xdr:colOff>167640</xdr:colOff>
      <xdr:row>18</xdr:row>
      <xdr:rowOff>121920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0F6420-385D-497B-ADBA-3171EE2F9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40886" b="8136"/>
        <a:stretch/>
      </xdr:blipFill>
      <xdr:spPr>
        <a:xfrm>
          <a:off x="403861" y="3375661"/>
          <a:ext cx="1638299" cy="236219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151550</xdr:rowOff>
    </xdr:to>
    <xdr:pic>
      <xdr:nvPicPr>
        <xdr:cNvPr id="15" name="Picture 14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5675058-0A32-4997-A3FA-D007E887FD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142486</xdr:rowOff>
    </xdr:to>
    <xdr:pic>
      <xdr:nvPicPr>
        <xdr:cNvPr id="16" name="Picture 15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76AE91-3DA2-4315-A27A-C9AA124BF9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114301</xdr:rowOff>
    </xdr:to>
    <xdr:pic>
      <xdr:nvPicPr>
        <xdr:cNvPr id="17" name="Picture 16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4A8738-7A7F-4FA0-91E3-97902A8EF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76200</xdr:colOff>
      <xdr:row>11</xdr:row>
      <xdr:rowOff>7620</xdr:rowOff>
    </xdr:from>
    <xdr:to>
      <xdr:col>15</xdr:col>
      <xdr:colOff>441271</xdr:colOff>
      <xdr:row>14</xdr:row>
      <xdr:rowOff>155708</xdr:rowOff>
    </xdr:to>
    <xdr:pic>
      <xdr:nvPicPr>
        <xdr:cNvPr id="19" name="Picture 18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4DD456D3-9E21-40F9-88A8-96AE1B9E1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160020</xdr:rowOff>
    </xdr:to>
    <xdr:pic>
      <xdr:nvPicPr>
        <xdr:cNvPr id="20" name="Picture 19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2EF34D2E-8647-4FF8-98A7-720720DF7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510540</xdr:colOff>
      <xdr:row>19</xdr:row>
      <xdr:rowOff>7620</xdr:rowOff>
    </xdr:from>
    <xdr:to>
      <xdr:col>3</xdr:col>
      <xdr:colOff>495872</xdr:colOff>
      <xdr:row>22</xdr:row>
      <xdr:rowOff>167640</xdr:rowOff>
    </xdr:to>
    <xdr:pic>
      <xdr:nvPicPr>
        <xdr:cNvPr id="23" name="Picture 22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0781C6F-8B71-4919-8315-9C28F3A0F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4860" y="3695700"/>
          <a:ext cx="1052132" cy="72390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152400</xdr:rowOff>
    </xdr:to>
    <xdr:pic>
      <xdr:nvPicPr>
        <xdr:cNvPr id="25" name="Picture 24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884AF711-DE53-403E-B7FC-B1D06922E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0</xdr:colOff>
      <xdr:row>19</xdr:row>
      <xdr:rowOff>10160</xdr:rowOff>
    </xdr:from>
    <xdr:to>
      <xdr:col>6</xdr:col>
      <xdr:colOff>15240</xdr:colOff>
      <xdr:row>23</xdr:row>
      <xdr:rowOff>7620</xdr:rowOff>
    </xdr:to>
    <xdr:pic>
      <xdr:nvPicPr>
        <xdr:cNvPr id="26" name="Picture 2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B4050638-2C75-4448-808D-CF85F0FB56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1786" t="19565"/>
        <a:stretch/>
      </xdr:blipFill>
      <xdr:spPr>
        <a:xfrm>
          <a:off x="2407920" y="3698240"/>
          <a:ext cx="548640" cy="751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507937</xdr:colOff>
      <xdr:row>19</xdr:row>
      <xdr:rowOff>30480</xdr:rowOff>
    </xdr:from>
    <xdr:to>
      <xdr:col>6</xdr:col>
      <xdr:colOff>487681</xdr:colOff>
      <xdr:row>22</xdr:row>
      <xdr:rowOff>167640</xdr:rowOff>
    </xdr:to>
    <xdr:pic>
      <xdr:nvPicPr>
        <xdr:cNvPr id="30" name="Picture 29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1777B532-79C9-42DA-91CD-D18EA1313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51218"/>
        <a:stretch/>
      </xdr:blipFill>
      <xdr:spPr>
        <a:xfrm>
          <a:off x="2915857" y="3718560"/>
          <a:ext cx="513144" cy="7010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7620</xdr:colOff>
      <xdr:row>11</xdr:row>
      <xdr:rowOff>22860</xdr:rowOff>
    </xdr:from>
    <xdr:to>
      <xdr:col>9</xdr:col>
      <xdr:colOff>472440</xdr:colOff>
      <xdr:row>14</xdr:row>
      <xdr:rowOff>120911</xdr:rowOff>
    </xdr:to>
    <xdr:pic>
      <xdr:nvPicPr>
        <xdr:cNvPr id="31" name="Picture 30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6E847EC8-70C3-4C4B-A399-8F71D427D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15740" y="2133600"/>
          <a:ext cx="998220" cy="62383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53340</xdr:colOff>
      <xdr:row>1</xdr:row>
      <xdr:rowOff>129540</xdr:rowOff>
    </xdr:from>
    <xdr:to>
      <xdr:col>6</xdr:col>
      <xdr:colOff>100626</xdr:colOff>
      <xdr:row>2</xdr:row>
      <xdr:rowOff>119988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048BE7-46BB-44A8-8567-501032D77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7660" y="312420"/>
          <a:ext cx="2714286" cy="219048"/>
        </a:xfrm>
        <a:prstGeom prst="rect">
          <a:avLst/>
        </a:prstGeom>
      </xdr:spPr>
    </xdr:pic>
    <xdr:clientData/>
  </xdr:twoCellAnchor>
  <xdr:oneCellAnchor>
    <xdr:from>
      <xdr:col>8</xdr:col>
      <xdr:colOff>76200</xdr:colOff>
      <xdr:row>19</xdr:row>
      <xdr:rowOff>7620</xdr:rowOff>
    </xdr:from>
    <xdr:ext cx="898471" cy="673868"/>
    <xdr:pic>
      <xdr:nvPicPr>
        <xdr:cNvPr id="21" name="Picture 20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1B50B54C-C9E6-4BD8-8D61-9C8432E6E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63BFC52-E920-4749-B15D-2F7E64F98667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24</xdr:row>
      <xdr:rowOff>104595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3F6140-3572-408C-9EB9-857EE4FB8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376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15</xdr:col>
      <xdr:colOff>290203</xdr:colOff>
      <xdr:row>18</xdr:row>
      <xdr:rowOff>99059</xdr:rowOff>
    </xdr:from>
    <xdr:to>
      <xdr:col>16</xdr:col>
      <xdr:colOff>60958</xdr:colOff>
      <xdr:row>20</xdr:row>
      <xdr:rowOff>53340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8A1511-D853-421A-9385-707D788A3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8032123" y="3589019"/>
          <a:ext cx="304155" cy="320041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CBD81205-2CB0-48EE-821B-6E98AE53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928AAD3D-4731-4AD2-91D7-4BCD6DE17318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91440</xdr:colOff>
      <xdr:row>21</xdr:row>
      <xdr:rowOff>137160</xdr:rowOff>
    </xdr:from>
    <xdr:to>
      <xdr:col>17</xdr:col>
      <xdr:colOff>153521</xdr:colOff>
      <xdr:row>25</xdr:row>
      <xdr:rowOff>119835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A35E19-59A2-4AE0-AEDC-AF03B13C7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3360" y="4175760"/>
          <a:ext cx="1128881" cy="737055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AB3DCB65-5C97-4003-98CF-4BF7B1EFB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lulob/Desktop/1.Work/2.%20EiiF/Projects/TBI/TBI%20app%20v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ndreas"/>
      <sheetName val="TBi"/>
      <sheetName val="Intro 1"/>
      <sheetName val="Intro v2"/>
      <sheetName val="Surfaces"/>
      <sheetName val="Surfaces dev"/>
      <sheetName val="Pipe"/>
      <sheetName val="Flange"/>
      <sheetName val="Flange LLB"/>
      <sheetName val="Valve"/>
      <sheetName val="Valve LLB"/>
      <sheetName val="Others"/>
      <sheetName val="I Surface"/>
      <sheetName val="I Pipe"/>
      <sheetName val="Cladding"/>
      <sheetName val="Insulation"/>
      <sheetName val="Others insulated"/>
      <sheetName val="Cold energy"/>
      <sheetName val="Wet Ice"/>
      <sheetName val="Photos"/>
      <sheetName val="Summary"/>
      <sheetName val="Summary develop"/>
      <sheetName val="Default values "/>
      <sheetName val="Warning list "/>
      <sheetName val="Insulation material "/>
      <sheetName val="Flanges "/>
      <sheetName val="insulation thickness"/>
      <sheetName val="Valve1"/>
      <sheetName val="Valve 2"/>
      <sheetName val="Valve3"/>
    </sheetNames>
    <sheetDataSet>
      <sheetData sheetId="0" refreshError="1"/>
      <sheetData sheetId="1">
        <row r="27">
          <cell r="L27">
            <v>0.1</v>
          </cell>
        </row>
      </sheetData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>
        <row r="2">
          <cell r="A2" t="str">
            <v>Defaul value ε=0,8</v>
          </cell>
          <cell r="B2">
            <v>0.8</v>
          </cell>
          <cell r="C2" t="str">
            <v xml:space="preserve">1000 hours </v>
          </cell>
          <cell r="D2">
            <v>1000</v>
          </cell>
        </row>
        <row r="3">
          <cell r="A3" t="str">
            <v>Metallic bright  ε=0,3</v>
          </cell>
          <cell r="B3">
            <v>0.3</v>
          </cell>
          <cell r="C3" t="str">
            <v>2000 hours</v>
          </cell>
          <cell r="D3">
            <v>2000</v>
          </cell>
        </row>
        <row r="4">
          <cell r="A4" t="str">
            <v>Metallic  ε=0,6</v>
          </cell>
          <cell r="B4">
            <v>0.6</v>
          </cell>
          <cell r="C4" t="str">
            <v>3000 hours</v>
          </cell>
          <cell r="D4">
            <v>3000</v>
          </cell>
        </row>
        <row r="5">
          <cell r="A5" t="str">
            <v>Corroded ε=0,8</v>
          </cell>
          <cell r="B5">
            <v>0.8</v>
          </cell>
          <cell r="C5" t="str">
            <v>4380 hours (1/2 year)</v>
          </cell>
          <cell r="D5">
            <v>4380</v>
          </cell>
        </row>
        <row r="6">
          <cell r="A6" t="str">
            <v>Painted ε=0,8</v>
          </cell>
          <cell r="B6">
            <v>0.8</v>
          </cell>
          <cell r="C6" t="str">
            <v>5000 hours</v>
          </cell>
          <cell r="D6">
            <v>5000</v>
          </cell>
        </row>
        <row r="7">
          <cell r="A7" t="str">
            <v>Non metallic ε=0,9</v>
          </cell>
          <cell r="B7">
            <v>0.9</v>
          </cell>
          <cell r="C7" t="str">
            <v>6000 hours</v>
          </cell>
          <cell r="D7">
            <v>6000</v>
          </cell>
        </row>
        <row r="8">
          <cell r="C8" t="str">
            <v>7000 hours</v>
          </cell>
          <cell r="D8">
            <v>7000</v>
          </cell>
        </row>
        <row r="9">
          <cell r="C9" t="str">
            <v>8760 hours (full year)</v>
          </cell>
          <cell r="D9">
            <v>8760</v>
          </cell>
        </row>
        <row r="10">
          <cell r="C10" t="str">
            <v xml:space="preserve">free input </v>
          </cell>
          <cell r="D10"/>
        </row>
      </sheetData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CB153-B70A-4BC8-8524-C016D5581DA2}">
  <dimension ref="A1:AX20"/>
  <sheetViews>
    <sheetView topLeftCell="A5" zoomScale="90" zoomScaleNormal="90" workbookViewId="0">
      <selection activeCell="U19" sqref="U19"/>
    </sheetView>
  </sheetViews>
  <sheetFormatPr defaultRowHeight="12" x14ac:dyDescent="0.25"/>
  <cols>
    <col min="1" max="1" width="2.5546875" style="401" customWidth="1"/>
    <col min="2" max="2" width="4" style="401" customWidth="1"/>
    <col min="3" max="3" width="3.6640625" style="401" customWidth="1"/>
    <col min="4" max="4" width="4" style="401" customWidth="1"/>
    <col min="5" max="5" width="3.6640625" style="401" customWidth="1"/>
    <col min="6" max="6" width="4" style="401" customWidth="1"/>
    <col min="7" max="7" width="3.6640625" style="401" customWidth="1"/>
    <col min="8" max="8" width="4" style="401" customWidth="1"/>
    <col min="9" max="9" width="3.6640625" style="401" customWidth="1"/>
    <col min="10" max="10" width="4" style="401" customWidth="1"/>
    <col min="11" max="11" width="3.6640625" style="401" customWidth="1"/>
    <col min="12" max="12" width="4" style="401" customWidth="1"/>
    <col min="13" max="13" width="3.6640625" style="401" customWidth="1"/>
    <col min="14" max="14" width="4" style="401" customWidth="1"/>
    <col min="15" max="15" width="3.6640625" style="401" customWidth="1"/>
    <col min="16" max="16" width="4" style="401" customWidth="1"/>
    <col min="17" max="26" width="3.6640625" style="401" customWidth="1"/>
    <col min="27" max="27" width="4.77734375" style="401" customWidth="1"/>
    <col min="28" max="28" width="5.77734375" style="401" customWidth="1"/>
    <col min="29" max="29" width="3.21875" style="401" customWidth="1"/>
    <col min="30" max="30" width="5.77734375" style="401" customWidth="1"/>
    <col min="31" max="31" width="3.21875" style="401" customWidth="1"/>
    <col min="32" max="32" width="5.44140625" style="401" customWidth="1"/>
    <col min="33" max="33" width="3.44140625" style="401" customWidth="1"/>
    <col min="34" max="34" width="5.44140625" style="401" customWidth="1"/>
    <col min="35" max="35" width="3.21875" style="401" customWidth="1"/>
    <col min="36" max="36" width="5.77734375" style="401" customWidth="1"/>
    <col min="37" max="37" width="4.77734375" style="401" customWidth="1"/>
    <col min="38" max="38" width="5.77734375" style="401" customWidth="1"/>
    <col min="39" max="39" width="2.77734375" style="401" customWidth="1"/>
    <col min="40" max="40" width="5.77734375" style="401" customWidth="1"/>
    <col min="41" max="41" width="2.77734375" style="401" customWidth="1"/>
    <col min="42" max="42" width="5.77734375" style="401" customWidth="1"/>
    <col min="43" max="43" width="2.77734375" style="401" customWidth="1"/>
    <col min="44" max="44" width="5.77734375" style="401" customWidth="1"/>
    <col min="45" max="45" width="2.77734375" style="401" customWidth="1"/>
    <col min="46" max="46" width="5.77734375" style="401" customWidth="1"/>
    <col min="47" max="47" width="2.77734375" style="401" customWidth="1"/>
    <col min="48" max="48" width="5.77734375" style="401" customWidth="1"/>
    <col min="49" max="49" width="4.77734375" style="401" customWidth="1"/>
    <col min="50" max="50" width="11.33203125" style="401" customWidth="1"/>
    <col min="51" max="51" width="3.77734375" style="401" customWidth="1"/>
    <col min="52" max="16384" width="8.88671875" style="401"/>
  </cols>
  <sheetData>
    <row r="1" spans="1:50" ht="15.6" x14ac:dyDescent="0.3">
      <c r="B1" s="428" t="s">
        <v>311</v>
      </c>
    </row>
    <row r="3" spans="1:50" ht="13.8" x14ac:dyDescent="0.3">
      <c r="B3" s="426" t="s">
        <v>312</v>
      </c>
      <c r="G3" s="427"/>
      <c r="H3" s="423"/>
      <c r="I3" s="423"/>
      <c r="J3" s="423"/>
      <c r="L3" s="426" t="s">
        <v>313</v>
      </c>
      <c r="O3" s="427"/>
      <c r="P3" s="424"/>
      <c r="Q3" s="424"/>
      <c r="R3" s="424"/>
      <c r="T3" s="426" t="s">
        <v>314</v>
      </c>
      <c r="Z3" s="415"/>
      <c r="AA3" s="415"/>
      <c r="AB3" s="415"/>
      <c r="AE3" s="426" t="s">
        <v>315</v>
      </c>
      <c r="AF3" s="426"/>
      <c r="AG3" s="426"/>
      <c r="AK3" s="408"/>
      <c r="AL3" s="408"/>
      <c r="AM3" s="408"/>
      <c r="AP3" s="426" t="s">
        <v>316</v>
      </c>
      <c r="AS3" s="409"/>
      <c r="AT3" s="409"/>
      <c r="AU3" s="409"/>
      <c r="AV3" s="426"/>
    </row>
    <row r="5" spans="1:50" ht="12.6" thickBot="1" x14ac:dyDescent="0.3">
      <c r="A5" s="421"/>
      <c r="B5" s="421"/>
      <c r="C5" s="421"/>
      <c r="D5" s="421"/>
      <c r="E5" s="421"/>
      <c r="F5" s="421"/>
      <c r="G5" s="421"/>
      <c r="H5" s="421"/>
      <c r="I5" s="421"/>
      <c r="J5" s="421"/>
      <c r="K5" s="421"/>
      <c r="L5" s="421"/>
      <c r="M5" s="421"/>
      <c r="N5" s="421"/>
      <c r="O5" s="421"/>
      <c r="P5" s="421"/>
      <c r="Q5" s="421"/>
      <c r="R5" s="421"/>
      <c r="S5" s="421"/>
      <c r="T5" s="421"/>
      <c r="U5" s="421"/>
      <c r="V5" s="421"/>
      <c r="W5" s="421"/>
      <c r="X5" s="421"/>
      <c r="Y5" s="421"/>
      <c r="Z5" s="421"/>
      <c r="AA5" s="421"/>
      <c r="AB5" s="421"/>
      <c r="AC5" s="421"/>
      <c r="AD5" s="421"/>
      <c r="AE5" s="421"/>
      <c r="AF5" s="421"/>
      <c r="AG5" s="421"/>
      <c r="AH5" s="421"/>
      <c r="AI5" s="421"/>
      <c r="AJ5" s="421"/>
      <c r="AK5" s="421"/>
      <c r="AL5" s="421"/>
      <c r="AM5" s="421"/>
      <c r="AN5" s="421"/>
      <c r="AO5" s="421"/>
      <c r="AP5" s="421"/>
      <c r="AQ5" s="421"/>
      <c r="AR5" s="421"/>
      <c r="AS5" s="421"/>
      <c r="AT5" s="421"/>
      <c r="AU5" s="421"/>
      <c r="AV5" s="421"/>
      <c r="AW5" s="421"/>
      <c r="AX5" s="421"/>
    </row>
    <row r="6" spans="1:50" ht="12.6" thickBot="1" x14ac:dyDescent="0.3"/>
    <row r="7" spans="1:50" ht="15" customHeight="1" thickBot="1" x14ac:dyDescent="0.3">
      <c r="B7" s="704" t="s">
        <v>301</v>
      </c>
      <c r="C7" s="705"/>
      <c r="D7" s="705"/>
      <c r="E7" s="705"/>
      <c r="F7" s="705"/>
      <c r="G7" s="705"/>
      <c r="H7" s="705"/>
      <c r="I7" s="705"/>
      <c r="J7" s="705"/>
      <c r="K7" s="705"/>
      <c r="L7" s="705"/>
      <c r="M7" s="705"/>
      <c r="N7" s="705"/>
      <c r="O7" s="705"/>
      <c r="P7" s="705"/>
      <c r="Q7" s="705"/>
      <c r="R7" s="705"/>
      <c r="S7" s="705"/>
      <c r="T7" s="705"/>
      <c r="U7" s="705"/>
      <c r="V7" s="705"/>
      <c r="W7" s="705"/>
      <c r="X7" s="705"/>
      <c r="Y7" s="705"/>
      <c r="Z7" s="706"/>
      <c r="AB7" s="701" t="s">
        <v>302</v>
      </c>
      <c r="AC7" s="702"/>
      <c r="AD7" s="702"/>
      <c r="AE7" s="702"/>
      <c r="AF7" s="702"/>
      <c r="AG7" s="702"/>
      <c r="AH7" s="702"/>
      <c r="AI7" s="702"/>
      <c r="AJ7" s="703"/>
      <c r="AL7" s="698" t="s">
        <v>303</v>
      </c>
      <c r="AM7" s="699"/>
      <c r="AN7" s="699"/>
      <c r="AO7" s="699"/>
      <c r="AP7" s="699"/>
      <c r="AQ7" s="699"/>
      <c r="AR7" s="699"/>
      <c r="AS7" s="699"/>
      <c r="AT7" s="699"/>
      <c r="AU7" s="699"/>
      <c r="AV7" s="700"/>
      <c r="AX7" s="420" t="s">
        <v>305</v>
      </c>
    </row>
    <row r="9" spans="1:50" ht="12.6" thickBot="1" x14ac:dyDescent="0.3">
      <c r="V9" s="404"/>
      <c r="W9" s="404"/>
      <c r="X9" s="404"/>
    </row>
    <row r="10" spans="1:50" s="403" customFormat="1" ht="59.4" customHeight="1" thickBot="1" x14ac:dyDescent="0.35">
      <c r="B10" s="692" t="s">
        <v>330</v>
      </c>
      <c r="C10" s="693"/>
      <c r="D10" s="693"/>
      <c r="E10" s="693"/>
      <c r="F10" s="693"/>
      <c r="G10" s="693"/>
      <c r="H10" s="693"/>
      <c r="I10" s="693"/>
      <c r="J10" s="694"/>
      <c r="L10" s="692" t="s">
        <v>239</v>
      </c>
      <c r="M10" s="693"/>
      <c r="N10" s="693"/>
      <c r="O10" s="693"/>
      <c r="P10" s="693"/>
      <c r="Q10" s="693"/>
      <c r="R10" s="693"/>
      <c r="S10" s="693"/>
      <c r="T10" s="694"/>
      <c r="V10" s="695" t="s">
        <v>296</v>
      </c>
      <c r="W10" s="696"/>
      <c r="X10" s="696"/>
      <c r="Y10" s="696"/>
      <c r="Z10" s="697"/>
      <c r="AB10" s="411" t="s">
        <v>309</v>
      </c>
      <c r="AC10" s="407"/>
      <c r="AD10" s="411" t="s">
        <v>298</v>
      </c>
      <c r="AE10" s="407"/>
      <c r="AF10" s="411" t="s">
        <v>284</v>
      </c>
      <c r="AG10" s="407"/>
      <c r="AH10" s="411" t="s">
        <v>342</v>
      </c>
      <c r="AI10" s="407"/>
      <c r="AJ10" s="411" t="s">
        <v>205</v>
      </c>
      <c r="AK10" s="407"/>
      <c r="AL10" s="600" t="s">
        <v>245</v>
      </c>
      <c r="AM10" s="407"/>
      <c r="AN10" s="609" t="s">
        <v>287</v>
      </c>
      <c r="AO10" s="407"/>
      <c r="AP10" s="600" t="s">
        <v>425</v>
      </c>
      <c r="AQ10" s="407"/>
      <c r="AR10" s="412" t="s">
        <v>343</v>
      </c>
      <c r="AS10" s="407"/>
      <c r="AT10" s="413" t="s">
        <v>299</v>
      </c>
      <c r="AU10" s="407"/>
      <c r="AV10" s="413" t="s">
        <v>300</v>
      </c>
      <c r="AX10" s="607" t="s">
        <v>431</v>
      </c>
    </row>
    <row r="11" spans="1:50" ht="136.80000000000001" thickBot="1" x14ac:dyDescent="0.3">
      <c r="B11" s="689" t="s">
        <v>515</v>
      </c>
      <c r="C11" s="405"/>
      <c r="D11" s="689" t="s">
        <v>127</v>
      </c>
      <c r="E11" s="405"/>
      <c r="F11" s="689" t="s">
        <v>129</v>
      </c>
      <c r="G11" s="405"/>
      <c r="H11" s="689" t="s">
        <v>295</v>
      </c>
      <c r="I11" s="405"/>
      <c r="J11" s="687"/>
      <c r="K11" s="406"/>
      <c r="L11" s="690" t="s">
        <v>516</v>
      </c>
      <c r="M11" s="406"/>
      <c r="N11" s="690" t="s">
        <v>304</v>
      </c>
      <c r="O11" s="406"/>
      <c r="P11" s="688"/>
      <c r="Q11" s="406"/>
      <c r="R11" s="691" t="s">
        <v>245</v>
      </c>
      <c r="S11" s="406"/>
      <c r="T11" s="601"/>
      <c r="U11" s="406"/>
      <c r="V11" s="604" t="s">
        <v>297</v>
      </c>
      <c r="W11" s="602"/>
      <c r="X11" s="600" t="s">
        <v>245</v>
      </c>
      <c r="Y11" s="406"/>
      <c r="Z11" s="600" t="s">
        <v>425</v>
      </c>
      <c r="AD11" s="608" t="s">
        <v>431</v>
      </c>
      <c r="AF11" s="608" t="s">
        <v>431</v>
      </c>
      <c r="AH11" s="608" t="s">
        <v>431</v>
      </c>
      <c r="AJ11" s="608" t="s">
        <v>431</v>
      </c>
      <c r="AR11" s="608" t="s">
        <v>431</v>
      </c>
      <c r="AT11" s="608" t="s">
        <v>431</v>
      </c>
      <c r="AV11" s="608" t="s">
        <v>431</v>
      </c>
    </row>
    <row r="12" spans="1:50" ht="12.6" thickBot="1" x14ac:dyDescent="0.3"/>
    <row r="13" spans="1:50" s="406" customFormat="1" ht="71.400000000000006" customHeight="1" thickBot="1" x14ac:dyDescent="0.3">
      <c r="B13" s="425" t="s">
        <v>310</v>
      </c>
      <c r="C13" s="418"/>
      <c r="D13" s="425" t="s">
        <v>310</v>
      </c>
      <c r="E13" s="418"/>
      <c r="F13" s="425" t="s">
        <v>310</v>
      </c>
      <c r="G13" s="418"/>
      <c r="H13" s="425" t="s">
        <v>310</v>
      </c>
      <c r="I13" s="418"/>
      <c r="J13" s="422"/>
      <c r="K13" s="418"/>
      <c r="L13" s="425" t="s">
        <v>310</v>
      </c>
      <c r="M13" s="418"/>
      <c r="N13" s="425" t="s">
        <v>310</v>
      </c>
      <c r="O13" s="418"/>
      <c r="P13" s="422"/>
      <c r="Q13" s="410"/>
      <c r="R13" s="419"/>
      <c r="S13" s="410"/>
      <c r="T13" s="419"/>
      <c r="U13" s="410"/>
      <c r="V13" s="605" t="s">
        <v>430</v>
      </c>
      <c r="W13" s="603"/>
      <c r="X13" s="603"/>
      <c r="Y13" s="410"/>
      <c r="Z13" s="419"/>
      <c r="AB13" s="605" t="s">
        <v>430</v>
      </c>
      <c r="AD13" s="416" t="s">
        <v>306</v>
      </c>
      <c r="AE13" s="414"/>
      <c r="AF13" s="416" t="s">
        <v>307</v>
      </c>
      <c r="AG13" s="414"/>
      <c r="AH13" s="416" t="s">
        <v>307</v>
      </c>
      <c r="AI13" s="414"/>
      <c r="AJ13" s="416" t="s">
        <v>307</v>
      </c>
      <c r="AL13" s="417" t="s">
        <v>308</v>
      </c>
      <c r="AN13" s="417" t="s">
        <v>308</v>
      </c>
      <c r="AP13" s="417" t="s">
        <v>308</v>
      </c>
      <c r="AR13" s="417" t="s">
        <v>308</v>
      </c>
      <c r="AT13" s="417" t="s">
        <v>308</v>
      </c>
      <c r="AV13" s="417" t="s">
        <v>308</v>
      </c>
    </row>
    <row r="15" spans="1:50" s="410" customFormat="1" ht="18.600000000000001" customHeight="1" x14ac:dyDescent="0.25">
      <c r="B15" s="415"/>
      <c r="C15" s="401"/>
      <c r="D15" s="415"/>
      <c r="E15" s="401"/>
      <c r="F15" s="415"/>
      <c r="G15" s="401"/>
      <c r="H15" s="415"/>
      <c r="I15" s="401"/>
      <c r="J15" s="415"/>
      <c r="K15" s="401"/>
      <c r="L15" s="415"/>
      <c r="M15" s="401"/>
      <c r="N15" s="415"/>
      <c r="O15" s="401"/>
      <c r="P15" s="415"/>
      <c r="Q15" s="401"/>
      <c r="R15" s="401"/>
      <c r="S15" s="401"/>
      <c r="T15" s="401"/>
      <c r="U15" s="401"/>
      <c r="V15" s="401"/>
      <c r="W15" s="401"/>
      <c r="X15" s="401"/>
      <c r="Y15" s="401"/>
      <c r="Z15" s="401"/>
    </row>
    <row r="17" spans="2:37" x14ac:dyDescent="0.25">
      <c r="B17" s="408"/>
      <c r="D17" s="408"/>
      <c r="F17" s="408"/>
      <c r="H17" s="408"/>
      <c r="J17" s="408"/>
      <c r="L17" s="408"/>
      <c r="N17" s="408"/>
      <c r="P17" s="408"/>
    </row>
    <row r="18" spans="2:37" ht="12.6" thickBot="1" x14ac:dyDescent="0.3"/>
    <row r="19" spans="2:37" ht="12.6" thickBot="1" x14ac:dyDescent="0.3">
      <c r="B19" s="409"/>
      <c r="D19" s="409"/>
      <c r="F19" s="409"/>
      <c r="H19" s="409"/>
      <c r="J19" s="409"/>
      <c r="L19" s="409"/>
      <c r="N19" s="409"/>
      <c r="P19" s="409"/>
      <c r="AK19" s="402"/>
    </row>
    <row r="20" spans="2:37" x14ac:dyDescent="0.25">
      <c r="AC20" s="418"/>
    </row>
  </sheetData>
  <mergeCells count="6">
    <mergeCell ref="B10:J10"/>
    <mergeCell ref="L10:T10"/>
    <mergeCell ref="V10:Z10"/>
    <mergeCell ref="AL7:AV7"/>
    <mergeCell ref="AB7:AJ7"/>
    <mergeCell ref="B7:Z7"/>
  </mergeCells>
  <hyperlinks>
    <hyperlink ref="B11" location="Surface!A1" display="Surface" xr:uid="{4210E122-72DA-47FF-B398-759B2F2FBD0B}"/>
    <hyperlink ref="D11" location="Pipe!A1" display="Pipe" xr:uid="{12BE2840-C5E9-4E51-8061-FDBFA6CE49E5}"/>
    <hyperlink ref="F11" location="Valve!A1" display="Valve" xr:uid="{9D87BDFA-62AA-427B-A54C-38E4428B178D}"/>
    <hyperlink ref="H11" location="Flange!A1" display="Flanges" xr:uid="{616969B6-4182-4E57-AA7C-79EB11D5DDAA}"/>
    <hyperlink ref="L11" location="'I Surface'!A1" display="Insulated Surface" xr:uid="{1D96A7FF-BCE3-4B9D-9A62-13E7FF10B246}"/>
    <hyperlink ref="N11" location="'I Pipe'!A1" display="Insulated Pipe" xr:uid="{A65447D5-B746-47B1-AD35-B9A7481A951B}"/>
    <hyperlink ref="R11" location="Damaged!A1" display="Damaged " xr:uid="{A35E6EF7-FDD9-4834-9653-99915718A51E}"/>
    <hyperlink ref="X11" location="Damaged!A1" display="Damaged " xr:uid="{11404B40-493E-417D-AF79-92B92A367FDA}"/>
    <hyperlink ref="Z11" location="Condensation!A1" display="Condensation " xr:uid="{4D91AB1C-7506-4889-96F3-4BE0E63FFCB8}"/>
    <hyperlink ref="V13" location="'Cold energy'!A1" display="Insulation*" xr:uid="{4E2A1A06-BDF2-4C70-87D6-B05DC04C52A2}"/>
    <hyperlink ref="AB13" location="'Cold energy'!A1" display="Insulation*" xr:uid="{EE39D623-F153-486D-9CA4-C296BD5D41B3}"/>
    <hyperlink ref="AX10" location="'basic report '!A1" display="basic report " xr:uid="{3FF7D07E-0B67-44A8-98BA-43C474C64E7B}"/>
    <hyperlink ref="AD11" location="'basic report '!A1" display="basic report " xr:uid="{0A0330C4-3C6A-44DC-B96B-62ACB225EEB8}"/>
    <hyperlink ref="AF11" location="'basic report '!A1" display="basic report " xr:uid="{24244154-74DD-4A50-8532-32F87B80BBC5}"/>
    <hyperlink ref="AH11" location="'basic report '!A1" display="basic report " xr:uid="{13B7DE2C-8DCF-454B-A8F3-1B5031267B7E}"/>
    <hyperlink ref="AJ11" location="'basic report '!A1" display="basic report " xr:uid="{CECC81BB-C108-4A57-A18A-830F5EB5E50A}"/>
    <hyperlink ref="AR11" location="'basic report '!A1" display="basic report " xr:uid="{993A8945-71AB-4668-8A3A-7E29C1082652}"/>
    <hyperlink ref="AT11" location="'basic report '!A1" display="basic report " xr:uid="{74B37CF2-AC34-4B94-B3A7-9A3CA4D69CCF}"/>
    <hyperlink ref="AV11" location="'basic report '!A1" display="basic report " xr:uid="{D1CD2C26-8294-4E15-97F9-ED8E1116CC6A}"/>
    <hyperlink ref="AP10" location="Condensation!A1" display="Condensation " xr:uid="{B1166DE3-D0AD-47BF-AB89-06BE2E34719A}"/>
    <hyperlink ref="AN10" location="Leakage!A1" display="Leakage" xr:uid="{D803810A-30F4-44B5-9295-2E9521182A38}"/>
    <hyperlink ref="AL10" location="Damaged!A1" display="Damaged " xr:uid="{A19C7B5A-23E9-4E07-83F2-00C371E6375D}"/>
  </hyperlink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6DF666-AE86-474B-B3E5-C0DA067B02BA}">
  <dimension ref="A1:AA41"/>
  <sheetViews>
    <sheetView workbookViewId="0"/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382"/>
      <c r="B2" s="822"/>
      <c r="C2" s="822"/>
      <c r="D2" s="823"/>
      <c r="E2" s="823"/>
      <c r="F2" s="823"/>
      <c r="G2" s="823"/>
      <c r="H2" s="822"/>
      <c r="I2" s="822"/>
      <c r="J2" s="822"/>
      <c r="K2" s="824"/>
      <c r="L2" s="824"/>
      <c r="M2" s="824"/>
      <c r="N2" s="382"/>
      <c r="O2" s="822"/>
      <c r="P2" s="822"/>
      <c r="Q2" s="817"/>
      <c r="R2" s="817"/>
      <c r="S2" s="109"/>
      <c r="T2" s="109"/>
    </row>
    <row r="3" spans="1:26" ht="6" customHeight="1" x14ac:dyDescent="0.3">
      <c r="A3" s="382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82"/>
    </row>
    <row r="4" spans="1:26" ht="16.8" customHeight="1" x14ac:dyDescent="0.3">
      <c r="A4" s="382"/>
      <c r="B4" s="15"/>
      <c r="C4" s="864" t="s">
        <v>16</v>
      </c>
      <c r="D4" s="864"/>
      <c r="E4" s="864"/>
      <c r="F4" s="864"/>
      <c r="G4" s="32"/>
      <c r="H4" s="865" t="s">
        <v>247</v>
      </c>
      <c r="I4" s="865"/>
      <c r="J4" s="865"/>
      <c r="K4" s="865"/>
      <c r="L4" s="866"/>
      <c r="M4" s="866"/>
      <c r="N4" s="866"/>
      <c r="O4" s="867"/>
      <c r="P4" s="867"/>
      <c r="Q4" s="32"/>
      <c r="R4" s="15"/>
      <c r="S4" s="15"/>
      <c r="T4" s="109"/>
    </row>
    <row r="5" spans="1:26" ht="13.8" customHeight="1" x14ac:dyDescent="0.35">
      <c r="A5" s="382"/>
      <c r="B5" s="15"/>
      <c r="C5" s="864"/>
      <c r="D5" s="864"/>
      <c r="E5" s="864"/>
      <c r="F5" s="864"/>
      <c r="G5" s="32"/>
      <c r="H5" s="865"/>
      <c r="I5" s="865"/>
      <c r="J5" s="865"/>
      <c r="K5" s="865"/>
      <c r="L5" s="866"/>
      <c r="M5" s="866"/>
      <c r="N5" s="866"/>
      <c r="O5" s="867"/>
      <c r="P5" s="867"/>
      <c r="Q5" s="14"/>
      <c r="R5" s="15"/>
      <c r="S5" s="15"/>
      <c r="T5" s="382"/>
      <c r="W5" s="391"/>
      <c r="X5" s="116"/>
      <c r="Y5" s="116"/>
      <c r="Z5" s="116"/>
    </row>
    <row r="6" spans="1:26" ht="13.8" customHeight="1" x14ac:dyDescent="0.35">
      <c r="A6" s="382"/>
      <c r="B6" s="15"/>
      <c r="C6" s="14"/>
      <c r="D6" s="384"/>
      <c r="E6" s="384"/>
      <c r="F6" s="384"/>
      <c r="G6" s="47"/>
      <c r="H6" s="285"/>
      <c r="I6" s="285"/>
      <c r="J6" s="285"/>
      <c r="K6" s="285"/>
      <c r="L6" s="14"/>
      <c r="M6" s="14"/>
      <c r="N6" s="14"/>
      <c r="O6" s="14"/>
      <c r="P6" s="14"/>
      <c r="Q6" s="14"/>
      <c r="R6" s="15"/>
      <c r="S6" s="15"/>
      <c r="T6" s="382"/>
      <c r="W6" s="116"/>
      <c r="X6" s="116"/>
      <c r="Y6" s="116"/>
      <c r="Z6" s="116"/>
    </row>
    <row r="7" spans="1:26" ht="13.8" customHeight="1" x14ac:dyDescent="0.35">
      <c r="A7" s="382"/>
      <c r="B7" s="15"/>
      <c r="C7" s="14"/>
      <c r="D7" s="384"/>
      <c r="E7" s="384"/>
      <c r="F7" s="384"/>
      <c r="G7" s="47"/>
      <c r="H7" s="285"/>
      <c r="I7" s="285"/>
      <c r="J7" s="285"/>
      <c r="K7" s="285"/>
      <c r="L7" s="866"/>
      <c r="M7" s="866"/>
      <c r="N7" s="866"/>
      <c r="O7" s="868"/>
      <c r="P7" s="868"/>
      <c r="Q7" s="869"/>
      <c r="R7" s="15"/>
      <c r="S7" s="15"/>
      <c r="T7" s="382"/>
      <c r="W7" s="390"/>
      <c r="X7" s="390"/>
      <c r="Y7" s="390"/>
      <c r="Z7" s="116"/>
    </row>
    <row r="8" spans="1:26" ht="13.8" customHeight="1" x14ac:dyDescent="0.35">
      <c r="A8" s="382"/>
      <c r="B8" s="15"/>
      <c r="C8" s="14"/>
      <c r="D8" s="384"/>
      <c r="E8" s="384"/>
      <c r="F8" s="384"/>
      <c r="G8" s="47"/>
      <c r="H8" s="285"/>
      <c r="I8" s="285"/>
      <c r="J8" s="285"/>
      <c r="K8" s="285"/>
      <c r="L8" s="866"/>
      <c r="M8" s="866"/>
      <c r="N8" s="866"/>
      <c r="O8" s="868"/>
      <c r="P8" s="868"/>
      <c r="Q8" s="869"/>
      <c r="R8" s="15"/>
      <c r="S8" s="15"/>
      <c r="T8" s="382"/>
      <c r="W8" s="390"/>
      <c r="X8" s="390"/>
      <c r="Y8" s="390"/>
      <c r="Z8" s="116"/>
    </row>
    <row r="9" spans="1:26" ht="13.8" customHeight="1" x14ac:dyDescent="0.3">
      <c r="A9" s="382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82"/>
      <c r="W9" s="390"/>
      <c r="X9" s="390"/>
      <c r="Y9" s="390"/>
      <c r="Z9" s="116"/>
    </row>
    <row r="10" spans="1:26" ht="13.8" customHeight="1" x14ac:dyDescent="0.3">
      <c r="A10" s="382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382"/>
      <c r="W10" s="390"/>
      <c r="X10" s="390"/>
      <c r="Y10" s="390"/>
      <c r="Z10" s="116"/>
    </row>
    <row r="11" spans="1:26" ht="13.8" customHeight="1" x14ac:dyDescent="0.3">
      <c r="A11" s="382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382"/>
      <c r="W11" s="116"/>
      <c r="X11" s="116"/>
      <c r="Y11" s="116"/>
      <c r="Z11" s="116"/>
    </row>
    <row r="12" spans="1:26" ht="13.8" customHeight="1" x14ac:dyDescent="0.3">
      <c r="A12" s="382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82"/>
    </row>
    <row r="13" spans="1:26" ht="13.8" customHeight="1" x14ac:dyDescent="0.3">
      <c r="A13" s="382"/>
      <c r="B13" s="15"/>
      <c r="C13" s="373"/>
      <c r="D13" s="373"/>
      <c r="E13" s="373"/>
      <c r="F13" s="373"/>
      <c r="G13" s="373"/>
      <c r="H13" s="373"/>
      <c r="I13" s="373"/>
      <c r="J13" s="373"/>
      <c r="K13" s="373"/>
      <c r="L13" s="373"/>
      <c r="M13" s="373"/>
      <c r="N13" s="373"/>
      <c r="O13" s="373"/>
      <c r="P13" s="373"/>
      <c r="Q13" s="373"/>
      <c r="R13" s="373"/>
      <c r="S13" s="15"/>
      <c r="T13" s="382"/>
    </row>
    <row r="14" spans="1:26" ht="13.8" customHeight="1" x14ac:dyDescent="0.3">
      <c r="A14" s="382"/>
      <c r="B14" s="15"/>
      <c r="C14" s="372"/>
      <c r="D14" s="870" t="s">
        <v>288</v>
      </c>
      <c r="E14" s="870"/>
      <c r="F14" s="870"/>
      <c r="G14" s="870"/>
      <c r="H14" s="870"/>
      <c r="I14" s="870"/>
      <c r="J14" s="870"/>
      <c r="K14" s="870"/>
      <c r="L14" s="870"/>
      <c r="M14" s="372"/>
      <c r="N14" s="372"/>
      <c r="O14" s="372"/>
      <c r="P14" s="372"/>
      <c r="Q14" s="372"/>
      <c r="R14" s="372"/>
      <c r="S14" s="356"/>
      <c r="T14" s="382"/>
    </row>
    <row r="15" spans="1:26" ht="13.8" customHeight="1" x14ac:dyDescent="0.3">
      <c r="A15" s="382"/>
      <c r="B15" s="15"/>
      <c r="C15" s="372"/>
      <c r="D15" s="870"/>
      <c r="E15" s="870"/>
      <c r="F15" s="870"/>
      <c r="G15" s="870"/>
      <c r="H15" s="870"/>
      <c r="I15" s="870"/>
      <c r="J15" s="870"/>
      <c r="K15" s="870"/>
      <c r="L15" s="870"/>
      <c r="M15" s="372"/>
      <c r="N15" s="372"/>
      <c r="O15" s="372"/>
      <c r="P15" s="372"/>
      <c r="Q15" s="372"/>
      <c r="R15" s="372"/>
      <c r="S15" s="356"/>
      <c r="T15" s="382"/>
    </row>
    <row r="16" spans="1:26" ht="13.8" customHeight="1" x14ac:dyDescent="0.3">
      <c r="A16" s="382"/>
      <c r="B16" s="15"/>
      <c r="C16" s="372"/>
      <c r="D16" s="372"/>
      <c r="E16" s="372"/>
      <c r="F16" s="372"/>
      <c r="G16" s="372"/>
      <c r="H16" s="372"/>
      <c r="I16" s="372"/>
      <c r="J16" s="372"/>
      <c r="K16" s="372"/>
      <c r="L16" s="372"/>
      <c r="M16" s="372"/>
      <c r="N16" s="372"/>
      <c r="O16" s="372"/>
      <c r="P16" s="372"/>
      <c r="Q16" s="372"/>
      <c r="R16" s="372"/>
      <c r="S16" s="356"/>
      <c r="T16" s="382"/>
    </row>
    <row r="17" spans="1:20" ht="13.8" customHeight="1" x14ac:dyDescent="0.3">
      <c r="A17" s="382"/>
      <c r="B17" s="15"/>
      <c r="C17" s="372"/>
      <c r="D17" s="372"/>
      <c r="E17" s="372"/>
      <c r="F17" s="372"/>
      <c r="G17" s="372"/>
      <c r="H17" s="372"/>
      <c r="I17" s="372"/>
      <c r="J17" s="372"/>
      <c r="K17" s="372"/>
      <c r="L17" s="372"/>
      <c r="M17" s="372"/>
      <c r="N17" s="372"/>
      <c r="O17" s="372"/>
      <c r="P17" s="372"/>
      <c r="Q17" s="372"/>
      <c r="R17" s="372"/>
      <c r="S17" s="356"/>
      <c r="T17" s="382"/>
    </row>
    <row r="18" spans="1:20" ht="13.8" customHeight="1" x14ac:dyDescent="0.3">
      <c r="A18" s="382"/>
      <c r="B18" s="15"/>
      <c r="C18" s="372"/>
      <c r="D18" s="372"/>
      <c r="E18" s="372"/>
      <c r="F18" s="372"/>
      <c r="G18" s="372"/>
      <c r="H18" s="372"/>
      <c r="I18" s="372"/>
      <c r="J18" s="372"/>
      <c r="K18" s="372"/>
      <c r="L18" s="372"/>
      <c r="M18" s="372"/>
      <c r="N18" s="372"/>
      <c r="O18" s="372"/>
      <c r="P18" s="372"/>
      <c r="Q18" s="372"/>
      <c r="R18" s="372"/>
      <c r="S18" s="356"/>
      <c r="T18" s="382"/>
    </row>
    <row r="19" spans="1:20" ht="13.8" customHeight="1" x14ac:dyDescent="0.3">
      <c r="A19" s="382"/>
      <c r="B19" s="15"/>
      <c r="C19" s="372"/>
      <c r="D19" s="372"/>
      <c r="E19" s="372"/>
      <c r="F19" s="372"/>
      <c r="G19" s="372"/>
      <c r="H19" s="372"/>
      <c r="I19" s="372"/>
      <c r="J19" s="372"/>
      <c r="K19" s="372"/>
      <c r="L19" s="372"/>
      <c r="M19" s="372"/>
      <c r="N19" s="372"/>
      <c r="O19" s="372"/>
      <c r="P19" s="372"/>
      <c r="Q19" s="372"/>
      <c r="R19" s="372"/>
      <c r="S19" s="356"/>
      <c r="T19" s="382"/>
    </row>
    <row r="20" spans="1:20" ht="13.8" customHeight="1" x14ac:dyDescent="0.3">
      <c r="A20" s="382"/>
      <c r="B20" s="15"/>
      <c r="C20" s="373"/>
      <c r="D20" s="373"/>
      <c r="E20" s="373"/>
      <c r="F20" s="373"/>
      <c r="G20" s="373"/>
      <c r="H20" s="373"/>
      <c r="I20" s="373"/>
      <c r="J20" s="373"/>
      <c r="K20" s="373"/>
      <c r="L20" s="373"/>
      <c r="M20" s="373"/>
      <c r="N20" s="373"/>
      <c r="O20" s="373"/>
      <c r="P20" s="373"/>
      <c r="Q20" s="373"/>
      <c r="R20" s="373"/>
      <c r="S20" s="15"/>
      <c r="T20" s="382"/>
    </row>
    <row r="21" spans="1:20" ht="14.4" customHeight="1" x14ac:dyDescent="0.3">
      <c r="A21" s="382"/>
      <c r="B21" s="15"/>
      <c r="C21" s="373"/>
      <c r="D21" s="373"/>
      <c r="E21" s="373"/>
      <c r="F21" s="373"/>
      <c r="G21" s="373"/>
      <c r="H21" s="373"/>
      <c r="I21" s="373"/>
      <c r="J21" s="373"/>
      <c r="K21" s="373"/>
      <c r="L21" s="373"/>
      <c r="M21" s="373"/>
      <c r="N21" s="373"/>
      <c r="O21" s="373"/>
      <c r="P21" s="373"/>
      <c r="Q21" s="373"/>
      <c r="R21" s="373"/>
      <c r="S21" s="15"/>
      <c r="T21" s="382"/>
    </row>
    <row r="22" spans="1:20" ht="14.4" customHeight="1" x14ac:dyDescent="0.3">
      <c r="A22" s="1"/>
      <c r="B22" s="15"/>
      <c r="C22" s="373"/>
      <c r="D22" s="373"/>
      <c r="E22" s="373"/>
      <c r="F22" s="373"/>
      <c r="G22" s="373"/>
      <c r="H22" s="373"/>
      <c r="I22" s="373"/>
      <c r="J22" s="373"/>
      <c r="K22" s="373"/>
      <c r="L22" s="373"/>
      <c r="M22" s="373"/>
      <c r="N22" s="373"/>
      <c r="O22" s="373"/>
      <c r="P22" s="373"/>
      <c r="Q22" s="373"/>
      <c r="R22" s="373"/>
      <c r="S22" s="15"/>
      <c r="T22" s="1"/>
    </row>
    <row r="23" spans="1:20" ht="14.4" customHeight="1" x14ac:dyDescent="0.3">
      <c r="A23" s="1"/>
      <c r="B23" s="382"/>
      <c r="C23" s="373"/>
      <c r="D23" s="373"/>
      <c r="E23" s="373"/>
      <c r="F23" s="373"/>
      <c r="G23" s="373"/>
      <c r="H23" s="373"/>
      <c r="I23" s="373"/>
      <c r="J23" s="373"/>
      <c r="K23" s="373"/>
      <c r="L23" s="373"/>
      <c r="M23" s="373"/>
      <c r="N23" s="373"/>
      <c r="O23" s="373"/>
      <c r="P23" s="373"/>
      <c r="Q23" s="373"/>
      <c r="R23" s="373"/>
      <c r="S23" s="1"/>
      <c r="T23" s="1"/>
    </row>
    <row r="24" spans="1:20" ht="14.4" customHeight="1" x14ac:dyDescent="0.3">
      <c r="A24" s="1"/>
      <c r="B24" s="382"/>
      <c r="C24" s="373"/>
      <c r="D24" s="373"/>
      <c r="E24" s="373"/>
      <c r="F24" s="373"/>
      <c r="G24" s="373"/>
      <c r="H24" s="373"/>
      <c r="I24" s="373"/>
      <c r="J24" s="373"/>
      <c r="K24" s="373"/>
      <c r="L24" s="373"/>
      <c r="M24" s="373"/>
      <c r="N24" s="373"/>
      <c r="O24" s="373"/>
      <c r="P24" s="373"/>
      <c r="Q24" s="373"/>
      <c r="R24" s="373"/>
      <c r="S24" s="1"/>
      <c r="T24" s="1"/>
    </row>
    <row r="25" spans="1:20" ht="18" customHeight="1" x14ac:dyDescent="0.35">
      <c r="A25" s="1"/>
      <c r="B25" s="115"/>
      <c r="C25" s="373"/>
      <c r="D25" s="373"/>
      <c r="E25" s="373"/>
      <c r="F25" s="373"/>
      <c r="G25" s="373"/>
      <c r="H25" s="373"/>
      <c r="I25" s="373"/>
      <c r="J25" s="373"/>
      <c r="K25" s="373"/>
      <c r="L25" s="373"/>
      <c r="M25" s="373"/>
      <c r="N25" s="373"/>
      <c r="O25" s="373"/>
      <c r="P25" s="373"/>
      <c r="Q25" s="373"/>
      <c r="R25" s="373"/>
      <c r="S25" s="3"/>
      <c r="T25" s="1"/>
    </row>
    <row r="26" spans="1:20" x14ac:dyDescent="0.3">
      <c r="A26" s="1"/>
      <c r="B26" s="1"/>
      <c r="C26" s="382"/>
      <c r="D26" s="382"/>
      <c r="E26" s="382"/>
      <c r="F26" s="382"/>
      <c r="G26" s="382"/>
      <c r="H26" s="382"/>
      <c r="I26" s="382"/>
      <c r="J26" s="15"/>
      <c r="K26" s="382"/>
      <c r="L26" s="1"/>
      <c r="M26" s="1"/>
      <c r="N26" s="1"/>
      <c r="O26" s="1"/>
      <c r="P26" s="1"/>
      <c r="Q26" s="1"/>
      <c r="R26" s="1"/>
      <c r="S26" s="1"/>
      <c r="T26" s="1"/>
    </row>
    <row r="27" spans="1:20" ht="18" x14ac:dyDescent="0.35">
      <c r="A27" s="1"/>
      <c r="B27" s="818"/>
      <c r="C27" s="818"/>
      <c r="D27" s="871"/>
      <c r="E27" s="871"/>
      <c r="F27" s="871"/>
      <c r="G27" s="871"/>
      <c r="H27" s="1"/>
      <c r="I27" s="1"/>
      <c r="J27" s="818"/>
      <c r="K27" s="818"/>
      <c r="L27" s="872"/>
      <c r="M27" s="872"/>
      <c r="N27" s="3"/>
      <c r="O27" s="1"/>
      <c r="P27" s="1"/>
      <c r="Q27" s="1"/>
      <c r="R27" s="1"/>
      <c r="S27" s="1"/>
      <c r="T27" s="1"/>
    </row>
    <row r="28" spans="1:20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8">
    <mergeCell ref="Q7:Q8"/>
    <mergeCell ref="D14:L15"/>
    <mergeCell ref="B27:C27"/>
    <mergeCell ref="D27:G27"/>
    <mergeCell ref="J27:K27"/>
    <mergeCell ref="L27:M27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11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8232D99-0A1B-4ABF-8ABF-8BD95D7C8490}">
          <x14:formula1>
            <xm:f>'Default values '!$C$2:$C$10</xm:f>
          </x14:formula1>
          <xm:sqref>O4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04BD5-F8E6-4AAF-8C58-4EAEF21DDD88}">
  <sheetPr codeName="Sheet4"/>
  <dimension ref="A1:AA105"/>
  <sheetViews>
    <sheetView topLeftCell="A51" zoomScale="110" zoomScaleNormal="110" workbookViewId="0">
      <selection activeCell="T69" sqref="T69"/>
    </sheetView>
  </sheetViews>
  <sheetFormatPr defaultRowHeight="14.4" x14ac:dyDescent="0.3"/>
  <cols>
    <col min="1" max="1" width="7.33203125" style="17" customWidth="1"/>
    <col min="2" max="2" width="5.21875" style="17" customWidth="1"/>
    <col min="3" max="3" width="13" style="17" customWidth="1"/>
    <col min="4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9.77734375" style="17" customWidth="1"/>
    <col min="16" max="16" width="11.109375" style="17" customWidth="1"/>
    <col min="17" max="17" width="8.77734375" style="17" customWidth="1"/>
    <col min="18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</row>
    <row r="2" spans="1:26" ht="15" customHeight="1" x14ac:dyDescent="0.3">
      <c r="A2" s="108"/>
      <c r="B2" s="15"/>
      <c r="C2" s="15"/>
      <c r="D2" s="15"/>
      <c r="E2" s="15"/>
      <c r="F2" s="15"/>
      <c r="G2" s="108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  <c r="X2" s="164" t="s">
        <v>293</v>
      </c>
    </row>
    <row r="3" spans="1:26" ht="7.8" customHeight="1" x14ac:dyDescent="0.3">
      <c r="A3" s="10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8"/>
      <c r="X3" s="164"/>
    </row>
    <row r="4" spans="1:26" ht="15" customHeight="1" x14ac:dyDescent="0.3">
      <c r="A4" s="108"/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24" t="s">
        <v>6</v>
      </c>
      <c r="X4" s="164"/>
    </row>
    <row r="5" spans="1:26" s="23" customFormat="1" ht="15" customHeight="1" x14ac:dyDescent="0.3">
      <c r="A5" s="26"/>
      <c r="B5" s="28"/>
      <c r="C5" s="864" t="s">
        <v>16</v>
      </c>
      <c r="D5" s="864"/>
      <c r="E5" s="864"/>
      <c r="F5" s="32"/>
      <c r="G5" s="865" t="s">
        <v>325</v>
      </c>
      <c r="H5" s="865"/>
      <c r="I5" s="865"/>
      <c r="J5" s="865"/>
      <c r="K5" s="866" t="s">
        <v>15</v>
      </c>
      <c r="L5" s="866"/>
      <c r="M5" s="866"/>
      <c r="N5" s="908" t="s">
        <v>20</v>
      </c>
      <c r="O5" s="908"/>
      <c r="P5" s="32">
        <f>VLOOKUP(N5,'Default values '!C2:D10,2,TRUE)</f>
        <v>7000</v>
      </c>
      <c r="Q5" s="28"/>
      <c r="R5" s="28"/>
      <c r="S5" s="28"/>
      <c r="T5" s="25" t="s">
        <v>101</v>
      </c>
      <c r="U5" s="22"/>
      <c r="V5" s="22"/>
      <c r="W5" s="22"/>
      <c r="X5" s="392" t="s">
        <v>294</v>
      </c>
      <c r="Y5" s="22"/>
      <c r="Z5" s="22"/>
    </row>
    <row r="6" spans="1:26" ht="15" customHeight="1" x14ac:dyDescent="0.35">
      <c r="A6" s="108"/>
      <c r="B6" s="14"/>
      <c r="C6" s="864"/>
      <c r="D6" s="864"/>
      <c r="E6" s="864"/>
      <c r="F6" s="32"/>
      <c r="G6" s="865"/>
      <c r="H6" s="865"/>
      <c r="I6" s="865"/>
      <c r="J6" s="865"/>
      <c r="K6" s="866"/>
      <c r="L6" s="866"/>
      <c r="M6" s="866"/>
      <c r="N6" s="908"/>
      <c r="O6" s="908"/>
      <c r="P6" s="14"/>
      <c r="Q6" s="14"/>
      <c r="R6" s="14"/>
      <c r="S6" s="14"/>
    </row>
    <row r="7" spans="1:26" ht="15" customHeight="1" x14ac:dyDescent="0.35">
      <c r="A7" s="108"/>
      <c r="B7" s="14"/>
      <c r="C7" s="106"/>
      <c r="D7" s="106"/>
      <c r="E7" s="106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108"/>
      <c r="B8" s="14"/>
      <c r="C8" s="106"/>
      <c r="D8" s="106"/>
      <c r="E8" s="106"/>
      <c r="F8" s="47"/>
      <c r="G8" s="285"/>
      <c r="H8" s="285"/>
      <c r="I8" s="285"/>
      <c r="J8" s="285"/>
      <c r="K8" s="866"/>
      <c r="L8" s="866"/>
      <c r="M8" s="866"/>
      <c r="N8" s="867"/>
      <c r="O8" s="867"/>
      <c r="P8" s="869"/>
      <c r="Q8" s="14"/>
      <c r="R8" s="14"/>
      <c r="S8" s="14"/>
    </row>
    <row r="9" spans="1:26" ht="15" customHeight="1" x14ac:dyDescent="0.35">
      <c r="A9" s="108"/>
      <c r="B9" s="14"/>
      <c r="C9" s="106"/>
      <c r="D9" s="106"/>
      <c r="E9" s="106"/>
      <c r="F9" s="47"/>
      <c r="G9" s="285"/>
      <c r="H9" s="285"/>
      <c r="I9" s="285"/>
      <c r="J9" s="285"/>
      <c r="K9" s="866"/>
      <c r="L9" s="866"/>
      <c r="M9" s="866"/>
      <c r="N9" s="867"/>
      <c r="O9" s="867"/>
      <c r="P9" s="869"/>
      <c r="Q9" s="26"/>
      <c r="R9" s="26"/>
      <c r="S9" s="26"/>
    </row>
    <row r="10" spans="1:26" s="23" customFormat="1" ht="15" customHeight="1" x14ac:dyDescent="0.35">
      <c r="A10" s="108"/>
      <c r="B10" s="14"/>
      <c r="C10" s="106"/>
      <c r="D10" s="106"/>
      <c r="E10" s="106"/>
      <c r="F10" s="47"/>
      <c r="G10" s="47"/>
      <c r="H10" s="47"/>
      <c r="I10" s="108"/>
      <c r="J10" s="108"/>
      <c r="K10" s="108"/>
      <c r="L10" s="108"/>
      <c r="M10" s="108"/>
      <c r="N10" s="108"/>
      <c r="O10" s="108"/>
      <c r="P10" s="108"/>
      <c r="Q10" s="108"/>
      <c r="R10" s="108"/>
      <c r="S10" s="108"/>
      <c r="T10" s="22"/>
      <c r="U10" s="22" t="s">
        <v>253</v>
      </c>
      <c r="V10" s="22"/>
      <c r="W10" s="22"/>
      <c r="X10" s="22"/>
      <c r="Y10" s="22"/>
      <c r="Z10" s="22"/>
    </row>
    <row r="11" spans="1:26" ht="15" customHeight="1" thickBot="1" x14ac:dyDescent="0.4">
      <c r="A11" s="108"/>
      <c r="B11" s="14"/>
      <c r="C11" s="14"/>
      <c r="D11" s="14"/>
      <c r="E11" s="14"/>
      <c r="F11" s="14"/>
      <c r="G11" s="14"/>
      <c r="H11" s="14"/>
      <c r="I11" s="108"/>
      <c r="J11" s="108"/>
      <c r="K11" s="108"/>
      <c r="L11" s="108"/>
      <c r="M11" s="108"/>
      <c r="N11" s="108"/>
      <c r="O11" s="108"/>
      <c r="P11" s="108"/>
      <c r="Q11" s="108"/>
      <c r="R11" s="108"/>
      <c r="S11" s="108"/>
    </row>
    <row r="12" spans="1:26" ht="15" customHeight="1" thickTop="1" x14ac:dyDescent="0.35">
      <c r="A12" s="108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08"/>
      <c r="M12" s="15"/>
      <c r="N12" s="15"/>
      <c r="O12" s="15"/>
      <c r="P12" s="15"/>
      <c r="Q12" s="15"/>
      <c r="R12" s="15"/>
      <c r="S12" s="108"/>
    </row>
    <row r="13" spans="1:26" ht="15" customHeight="1" x14ac:dyDescent="0.3">
      <c r="A13" s="26"/>
      <c r="B13" s="31"/>
      <c r="C13" s="869" t="s">
        <v>7</v>
      </c>
      <c r="D13" s="869"/>
      <c r="E13" s="869"/>
      <c r="F13" s="898">
        <v>216</v>
      </c>
      <c r="G13" s="898"/>
      <c r="H13" s="869" t="s">
        <v>8</v>
      </c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</row>
    <row r="14" spans="1:26" s="23" customFormat="1" ht="15" customHeight="1" x14ac:dyDescent="0.3">
      <c r="A14" s="108"/>
      <c r="B14" s="8"/>
      <c r="C14" s="869"/>
      <c r="D14" s="869"/>
      <c r="E14" s="869"/>
      <c r="F14" s="898"/>
      <c r="G14" s="898"/>
      <c r="H14" s="869"/>
      <c r="I14" s="15"/>
      <c r="J14" s="26"/>
      <c r="K14" s="51"/>
      <c r="L14" s="26"/>
      <c r="M14" s="899" t="str">
        <f>IF(O14="","","Heat loss")</f>
        <v>Heat loss</v>
      </c>
      <c r="N14" s="899"/>
      <c r="O14" s="915">
        <f>IF(N45=0,"",N45)</f>
        <v>868928.58682477032</v>
      </c>
      <c r="P14" s="915"/>
      <c r="Q14" s="909" t="str">
        <f>IF(O14="","","kWh/a")</f>
        <v>kWh/a</v>
      </c>
      <c r="R14" s="909"/>
      <c r="S14" s="108"/>
      <c r="T14" s="22"/>
      <c r="U14" s="22"/>
      <c r="V14" s="22"/>
      <c r="W14" s="22"/>
      <c r="X14" s="22"/>
      <c r="Y14" s="22"/>
      <c r="Z14" s="22"/>
    </row>
    <row r="15" spans="1:26" ht="15" customHeight="1" x14ac:dyDescent="0.3">
      <c r="A15" s="108"/>
      <c r="B15" s="8"/>
      <c r="C15" s="108"/>
      <c r="D15" s="108"/>
      <c r="E15" s="108"/>
      <c r="F15" s="33"/>
      <c r="G15" s="33"/>
      <c r="H15" s="108"/>
      <c r="I15" s="15"/>
      <c r="J15" s="15"/>
      <c r="K15" s="45"/>
      <c r="L15" s="15"/>
      <c r="M15" s="899"/>
      <c r="N15" s="899"/>
      <c r="O15" s="915"/>
      <c r="P15" s="915"/>
      <c r="Q15" s="909"/>
      <c r="R15" s="909"/>
      <c r="S15" s="108"/>
    </row>
    <row r="16" spans="1:26" ht="15" customHeight="1" x14ac:dyDescent="0.3">
      <c r="A16" s="108"/>
      <c r="B16" s="8"/>
      <c r="C16" s="108"/>
      <c r="D16" s="108"/>
      <c r="E16" s="108"/>
      <c r="F16" s="33"/>
      <c r="G16" s="33"/>
      <c r="H16" s="108"/>
      <c r="I16" s="27"/>
      <c r="J16" s="27"/>
      <c r="K16" s="45"/>
      <c r="L16" s="27"/>
      <c r="M16" s="899"/>
      <c r="N16" s="899"/>
      <c r="O16" s="910">
        <f>IF(N45=0,"",O45)</f>
        <v>43446.429341238516</v>
      </c>
      <c r="P16" s="910"/>
      <c r="Q16" s="911" t="str">
        <f>IF(Surface!O16="","",IF(Surface!N45=0,"","€/a"))</f>
        <v>€/a</v>
      </c>
      <c r="R16" s="911"/>
      <c r="S16" s="108"/>
    </row>
    <row r="17" spans="1:26" ht="15" customHeight="1" x14ac:dyDescent="0.3">
      <c r="A17" s="26"/>
      <c r="B17" s="31"/>
      <c r="C17" s="869" t="s">
        <v>109</v>
      </c>
      <c r="D17" s="869"/>
      <c r="E17" s="869"/>
      <c r="F17" s="908" t="s">
        <v>378</v>
      </c>
      <c r="G17" s="908"/>
      <c r="H17" s="52">
        <f>IF(F17="","",VLOOKUP(F17,'Default values '!A2:B7,2,FALSE))</f>
        <v>0.8</v>
      </c>
      <c r="I17" s="27"/>
      <c r="J17" s="27"/>
      <c r="K17" s="51"/>
      <c r="L17" s="27"/>
      <c r="M17" s="899"/>
      <c r="N17" s="899"/>
      <c r="O17" s="910"/>
      <c r="P17" s="910"/>
      <c r="Q17" s="911"/>
      <c r="R17" s="911"/>
      <c r="S17" s="26"/>
    </row>
    <row r="18" spans="1:26" s="23" customFormat="1" ht="15" customHeight="1" x14ac:dyDescent="0.3">
      <c r="A18" s="108"/>
      <c r="B18" s="8"/>
      <c r="C18" s="869"/>
      <c r="D18" s="869"/>
      <c r="E18" s="869"/>
      <c r="F18" s="908"/>
      <c r="G18" s="908"/>
      <c r="H18" s="15"/>
      <c r="I18" s="108"/>
      <c r="J18" s="108"/>
      <c r="K18" s="9"/>
      <c r="L18" s="108"/>
      <c r="M18" s="912" t="str">
        <f>IF(O14="","","Saving potential")</f>
        <v>Saving potential</v>
      </c>
      <c r="N18" s="912"/>
      <c r="O18" s="900">
        <f>IF(F25=0,"",P46)</f>
        <v>690760.10945807467</v>
      </c>
      <c r="P18" s="901">
        <f>IF(F25=0,"",P47)</f>
        <v>827283.11690156581</v>
      </c>
      <c r="Q18" s="913" t="str">
        <f>IF(O18="","","kWh/a")</f>
        <v>kWh/a</v>
      </c>
      <c r="R18" s="913"/>
      <c r="S18" s="108"/>
      <c r="T18" s="22"/>
      <c r="U18" s="22"/>
      <c r="V18" s="22"/>
      <c r="W18" s="22"/>
      <c r="X18" s="22"/>
      <c r="Y18" s="22"/>
      <c r="Z18" s="22"/>
    </row>
    <row r="19" spans="1:26" ht="15" customHeight="1" x14ac:dyDescent="0.3">
      <c r="A19" s="108"/>
      <c r="B19" s="8"/>
      <c r="C19" s="15"/>
      <c r="D19" s="15"/>
      <c r="E19" s="15"/>
      <c r="F19" s="33"/>
      <c r="G19" s="33"/>
      <c r="H19" s="15"/>
      <c r="I19" s="108"/>
      <c r="J19" s="108"/>
      <c r="K19" s="9"/>
      <c r="L19" s="108"/>
      <c r="M19" s="912"/>
      <c r="N19" s="912"/>
      <c r="O19" s="900"/>
      <c r="P19" s="901"/>
      <c r="Q19" s="913"/>
      <c r="R19" s="913"/>
      <c r="S19" s="108"/>
    </row>
    <row r="20" spans="1:26" ht="15" customHeight="1" x14ac:dyDescent="0.3">
      <c r="A20" s="108"/>
      <c r="B20" s="8"/>
      <c r="C20" s="108"/>
      <c r="D20" s="108"/>
      <c r="E20" s="108"/>
      <c r="F20" s="33"/>
      <c r="G20" s="33"/>
      <c r="H20" s="108"/>
      <c r="I20" s="108"/>
      <c r="J20" s="108"/>
      <c r="K20" s="9"/>
      <c r="L20" s="108"/>
      <c r="M20" s="912"/>
      <c r="N20" s="912"/>
      <c r="O20" s="902">
        <f>IF(F25=0,"",Q46)</f>
        <v>34538.005472903737</v>
      </c>
      <c r="P20" s="903">
        <f>IF(F25=0,"",Q47)</f>
        <v>41364.15584507829</v>
      </c>
      <c r="Q20" s="914" t="str">
        <f>IF(O20=0,"",IF(N45=0,"","€/a"))</f>
        <v>€/a</v>
      </c>
      <c r="R20" s="914"/>
      <c r="S20" s="108"/>
    </row>
    <row r="21" spans="1:26" ht="15" customHeight="1" x14ac:dyDescent="0.3">
      <c r="A21" s="26"/>
      <c r="B21" s="31"/>
      <c r="C21" s="869" t="s">
        <v>39</v>
      </c>
      <c r="D21" s="869"/>
      <c r="E21" s="869"/>
      <c r="F21" s="898">
        <v>11</v>
      </c>
      <c r="G21" s="898"/>
      <c r="H21" s="869" t="s">
        <v>23</v>
      </c>
      <c r="I21" s="26"/>
      <c r="J21" s="26"/>
      <c r="K21" s="51"/>
      <c r="L21" s="26"/>
      <c r="M21" s="912"/>
      <c r="N21" s="912"/>
      <c r="O21" s="902"/>
      <c r="P21" s="903"/>
      <c r="Q21" s="914"/>
      <c r="R21" s="914"/>
      <c r="S21" s="26"/>
    </row>
    <row r="22" spans="1:26" s="23" customFormat="1" ht="15" customHeight="1" x14ac:dyDescent="0.3">
      <c r="A22" s="108"/>
      <c r="B22" s="8"/>
      <c r="C22" s="869"/>
      <c r="D22" s="869"/>
      <c r="E22" s="869"/>
      <c r="F22" s="898"/>
      <c r="G22" s="898"/>
      <c r="H22" s="869"/>
      <c r="I22" s="108"/>
      <c r="J22" s="108"/>
      <c r="K22" s="9"/>
      <c r="L22" s="108"/>
      <c r="M22" s="46"/>
      <c r="N22" s="46"/>
      <c r="O22" s="46"/>
      <c r="P22" s="46"/>
      <c r="Q22" s="46"/>
      <c r="R22" s="46"/>
      <c r="S22" s="108"/>
      <c r="T22" s="22"/>
      <c r="U22" s="22"/>
      <c r="V22" s="22"/>
      <c r="W22" s="22"/>
      <c r="X22" s="22"/>
      <c r="Y22" s="22"/>
      <c r="Z22" s="22"/>
    </row>
    <row r="23" spans="1:26" ht="15" customHeight="1" x14ac:dyDescent="0.3">
      <c r="A23" s="108"/>
      <c r="B23" s="8"/>
      <c r="C23" s="108"/>
      <c r="D23" s="108"/>
      <c r="E23" s="108"/>
      <c r="F23" s="108"/>
      <c r="G23" s="108"/>
      <c r="H23" s="18"/>
      <c r="I23" s="19"/>
      <c r="J23" s="19"/>
      <c r="K23" s="45"/>
      <c r="L23" s="108"/>
      <c r="M23" s="50"/>
      <c r="N23" s="48"/>
      <c r="O23" s="48"/>
      <c r="P23" s="48"/>
      <c r="Q23" s="48"/>
      <c r="R23" s="48"/>
      <c r="S23" s="108"/>
    </row>
    <row r="24" spans="1:26" ht="15" customHeight="1" x14ac:dyDescent="0.3">
      <c r="A24" s="108"/>
      <c r="B24" s="8"/>
      <c r="C24" s="108"/>
      <c r="D24" s="108"/>
      <c r="E24" s="108"/>
      <c r="F24" s="108"/>
      <c r="G24" s="108"/>
      <c r="H24" s="19"/>
      <c r="I24" s="19"/>
      <c r="J24" s="19"/>
      <c r="K24" s="45"/>
      <c r="L24" s="108"/>
      <c r="M24" s="54"/>
      <c r="N24" s="49"/>
      <c r="O24" s="49"/>
      <c r="P24" s="49"/>
      <c r="Q24" s="48"/>
      <c r="R24" s="48"/>
      <c r="S24" s="108"/>
    </row>
    <row r="25" spans="1:26" ht="15" customHeight="1" x14ac:dyDescent="0.3">
      <c r="A25" s="26"/>
      <c r="B25" s="8"/>
      <c r="C25" s="869" t="s">
        <v>317</v>
      </c>
      <c r="D25" s="869"/>
      <c r="E25" s="869"/>
      <c r="F25" s="898">
        <v>60</v>
      </c>
      <c r="G25" s="898"/>
      <c r="H25" s="869" t="s">
        <v>23</v>
      </c>
      <c r="I25" s="19"/>
      <c r="J25" s="19"/>
      <c r="K25" s="45"/>
      <c r="L25" s="108"/>
      <c r="M25" s="904" t="str">
        <f>IF(F25="","",M53)</f>
        <v>Insulation recommended</v>
      </c>
      <c r="N25" s="904"/>
      <c r="O25" s="904"/>
      <c r="P25" s="904"/>
      <c r="Q25" s="48"/>
      <c r="R25" s="48"/>
      <c r="S25" s="108"/>
    </row>
    <row r="26" spans="1:26" ht="15" customHeight="1" x14ac:dyDescent="0.3">
      <c r="A26" s="108"/>
      <c r="B26" s="8"/>
      <c r="C26" s="869"/>
      <c r="D26" s="869"/>
      <c r="E26" s="869"/>
      <c r="F26" s="898"/>
      <c r="G26" s="898"/>
      <c r="H26" s="869"/>
      <c r="I26" s="19"/>
      <c r="J26" s="19"/>
      <c r="K26" s="45"/>
      <c r="L26" s="108"/>
      <c r="M26" s="904"/>
      <c r="N26" s="904"/>
      <c r="O26" s="904"/>
      <c r="P26" s="904"/>
      <c r="Q26" s="48"/>
      <c r="R26" s="108"/>
      <c r="S26" s="108"/>
    </row>
    <row r="27" spans="1:26" ht="15" customHeight="1" thickBot="1" x14ac:dyDescent="0.35">
      <c r="A27" s="10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8"/>
      <c r="M27" s="904"/>
      <c r="N27" s="904"/>
      <c r="O27" s="904"/>
      <c r="P27" s="904"/>
      <c r="Q27" s="48"/>
      <c r="R27" s="108"/>
      <c r="S27" s="108"/>
    </row>
    <row r="28" spans="1:26" ht="15.6" thickTop="1" thickBot="1" x14ac:dyDescent="0.35">
      <c r="A28" s="108"/>
      <c r="B28" s="108"/>
      <c r="C28" s="108"/>
      <c r="D28" s="108"/>
      <c r="E28" s="108"/>
      <c r="F28" s="108"/>
      <c r="G28" s="108"/>
      <c r="H28" s="108"/>
      <c r="I28" s="108"/>
      <c r="J28" s="108"/>
      <c r="K28" s="108"/>
      <c r="L28" s="108"/>
      <c r="M28" s="108"/>
      <c r="N28" s="108"/>
      <c r="O28" s="108"/>
      <c r="P28" s="108"/>
      <c r="Q28" s="108"/>
      <c r="R28" s="108"/>
      <c r="S28" s="108"/>
    </row>
    <row r="29" spans="1:26" ht="15" thickTop="1" x14ac:dyDescent="0.3">
      <c r="A29" s="10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8"/>
    </row>
    <row r="30" spans="1:26" x14ac:dyDescent="0.3">
      <c r="A30" s="16"/>
      <c r="B30" s="16"/>
      <c r="C30" s="16" t="s">
        <v>102</v>
      </c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6"/>
      <c r="B31" s="16"/>
      <c r="C31" s="109" t="s">
        <v>103</v>
      </c>
      <c r="D31" s="379"/>
      <c r="E31" s="379"/>
      <c r="F31" s="379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381"/>
      <c r="R31" s="16"/>
      <c r="S31" s="16"/>
    </row>
    <row r="32" spans="1:26" x14ac:dyDescent="0.3">
      <c r="A32" s="16"/>
      <c r="B32" s="16"/>
      <c r="C32" s="109" t="s">
        <v>104</v>
      </c>
      <c r="D32" s="379"/>
      <c r="E32" s="379"/>
      <c r="F32" s="379"/>
      <c r="G32" s="16" t="s">
        <v>107</v>
      </c>
      <c r="H32" s="16"/>
      <c r="I32" s="16" t="s">
        <v>252</v>
      </c>
      <c r="J32" s="16"/>
      <c r="K32" s="16"/>
      <c r="L32" s="16"/>
      <c r="M32" s="16"/>
      <c r="N32" s="16"/>
      <c r="O32" s="16"/>
      <c r="P32" s="16"/>
      <c r="Q32" s="381"/>
      <c r="R32" s="16"/>
      <c r="S32" s="16"/>
    </row>
    <row r="33" spans="1:22" x14ac:dyDescent="0.3">
      <c r="A33" s="16"/>
      <c r="B33" s="16"/>
      <c r="C33" s="109" t="s">
        <v>105</v>
      </c>
      <c r="D33" s="379"/>
      <c r="E33" s="379"/>
      <c r="F33" s="379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381"/>
      <c r="R33" s="16"/>
      <c r="S33" s="16"/>
    </row>
    <row r="34" spans="1:22" x14ac:dyDescent="0.3">
      <c r="A34" s="16"/>
      <c r="B34" s="16"/>
      <c r="C34" s="109" t="s">
        <v>106</v>
      </c>
      <c r="D34" s="379"/>
      <c r="E34" s="379"/>
      <c r="F34" s="379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381"/>
      <c r="R34" s="16"/>
      <c r="S34" s="16"/>
    </row>
    <row r="35" spans="1:22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2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2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2" x14ac:dyDescent="0.3">
      <c r="A38" s="16" t="s">
        <v>26</v>
      </c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2" x14ac:dyDescent="0.3">
      <c r="A39" s="117" t="s">
        <v>57</v>
      </c>
      <c r="B39" s="108"/>
      <c r="C39" s="108"/>
      <c r="D39" s="345" t="s">
        <v>194</v>
      </c>
      <c r="E39" s="327"/>
      <c r="F39" s="345" t="s">
        <v>194</v>
      </c>
      <c r="G39" s="347" t="s">
        <v>196</v>
      </c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2" x14ac:dyDescent="0.3">
      <c r="A40" s="117" t="s">
        <v>58</v>
      </c>
      <c r="B40" s="108"/>
      <c r="C40" s="346" t="s">
        <v>195</v>
      </c>
      <c r="D40" s="346"/>
      <c r="E40" s="346" t="s">
        <v>195</v>
      </c>
      <c r="F40" s="109" t="s">
        <v>100</v>
      </c>
      <c r="G40" s="327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2" x14ac:dyDescent="0.3">
      <c r="A41" s="117" t="s">
        <v>100</v>
      </c>
      <c r="B41" s="108"/>
      <c r="C41" s="108"/>
      <c r="D41" s="327"/>
      <c r="E41" s="327"/>
      <c r="F41" s="327"/>
      <c r="G41" s="327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2" x14ac:dyDescent="0.3">
      <c r="A42" s="108"/>
      <c r="B42" s="108"/>
      <c r="C42" s="108"/>
      <c r="D42" s="327"/>
      <c r="E42" s="327"/>
      <c r="F42" s="327"/>
      <c r="G42" s="348" t="s">
        <v>197</v>
      </c>
    </row>
    <row r="43" spans="1:22" customFormat="1" ht="98.4" customHeight="1" x14ac:dyDescent="0.3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897"/>
      <c r="Q43" s="897"/>
      <c r="R43" s="83"/>
      <c r="S43" s="16"/>
      <c r="T43" s="16"/>
      <c r="U43" s="82"/>
      <c r="V43" s="82"/>
    </row>
    <row r="44" spans="1:22" s="34" customFormat="1" ht="59.4" customHeight="1" x14ac:dyDescent="0.3">
      <c r="A44" s="893" t="s">
        <v>5</v>
      </c>
      <c r="B44" s="894"/>
      <c r="C44" s="87" t="s">
        <v>398</v>
      </c>
      <c r="D44" s="88"/>
      <c r="E44" s="88" t="s">
        <v>388</v>
      </c>
      <c r="F44" s="88" t="s">
        <v>31</v>
      </c>
      <c r="G44" s="88" t="s">
        <v>389</v>
      </c>
      <c r="H44" s="88" t="s">
        <v>399</v>
      </c>
      <c r="I44" s="88" t="s">
        <v>400</v>
      </c>
      <c r="J44" s="89" t="s">
        <v>14</v>
      </c>
      <c r="K44" s="89" t="s">
        <v>397</v>
      </c>
      <c r="L44" s="89" t="s">
        <v>27</v>
      </c>
      <c r="M44" s="84" t="s">
        <v>178</v>
      </c>
      <c r="N44" s="86" t="s">
        <v>94</v>
      </c>
      <c r="O44" s="86" t="s">
        <v>95</v>
      </c>
      <c r="P44" s="153" t="s">
        <v>70</v>
      </c>
      <c r="Q44" s="153"/>
      <c r="R44" s="895"/>
      <c r="S44" s="895"/>
      <c r="T44" s="895"/>
    </row>
    <row r="45" spans="1:22" customFormat="1" ht="18" x14ac:dyDescent="0.3">
      <c r="A45" s="886" t="str">
        <f>G5</f>
        <v>tank roof</v>
      </c>
      <c r="B45" s="886"/>
      <c r="C45" s="263">
        <f>F13</f>
        <v>216</v>
      </c>
      <c r="D45" s="263"/>
      <c r="E45" s="264">
        <f>F25</f>
        <v>60</v>
      </c>
      <c r="F45" s="264">
        <f>F21</f>
        <v>11</v>
      </c>
      <c r="G45" s="265">
        <f>H17</f>
        <v>0.8</v>
      </c>
      <c r="H45" s="264">
        <f>P5</f>
        <v>7000</v>
      </c>
      <c r="I45" s="265">
        <f>TBi!$L$27</f>
        <v>0.05</v>
      </c>
      <c r="J45" s="200">
        <f>IF(E45=0,"",$D$59*$G$45*(((E45+273)^4-(F45+273)^4)/((E45+273)-(F45+273))))</f>
        <v>5.3611398864660398</v>
      </c>
      <c r="K45" s="201">
        <f>IF(E45=0,"",1.74*ABS(E45-F45)^0.3333333)</f>
        <v>6.36719110944113</v>
      </c>
      <c r="L45" s="200">
        <f>IF(E45=0,"",J45+K45)</f>
        <v>11.72833099590717</v>
      </c>
      <c r="M45" s="202">
        <f>IF(E45=0,"",L45*ABS(E45-F45))</f>
        <v>574.68821879945131</v>
      </c>
      <c r="N45" s="85">
        <f>IF(E45=0,"",M45*H45*C45/1000)</f>
        <v>868928.58682477032</v>
      </c>
      <c r="O45" s="85">
        <f>IF(E45=0,"",N45*I45)</f>
        <v>43446.429341238516</v>
      </c>
      <c r="P45" s="127" t="s">
        <v>71</v>
      </c>
      <c r="Q45" s="127" t="s">
        <v>24</v>
      </c>
      <c r="R45" s="896"/>
      <c r="S45" s="896"/>
      <c r="T45" s="896"/>
    </row>
    <row r="46" spans="1:22" s="16" customFormat="1" x14ac:dyDescent="0.3">
      <c r="A46" s="886" t="s">
        <v>323</v>
      </c>
      <c r="B46" s="886"/>
      <c r="C46" s="263">
        <f t="shared" ref="C46:I47" si="0">C45</f>
        <v>216</v>
      </c>
      <c r="D46" s="263"/>
      <c r="E46" s="266">
        <f t="shared" si="0"/>
        <v>60</v>
      </c>
      <c r="F46" s="264">
        <f t="shared" si="0"/>
        <v>11</v>
      </c>
      <c r="G46" s="265">
        <f t="shared" si="0"/>
        <v>0.8</v>
      </c>
      <c r="H46" s="264">
        <f t="shared" si="0"/>
        <v>7000</v>
      </c>
      <c r="I46" s="265">
        <f t="shared" si="0"/>
        <v>0.05</v>
      </c>
      <c r="J46" s="200">
        <f>IF(E46=0,"",$D$59*$G$45*(((E46+273)^4-(F46+273)^4)/((E46+273)-(F46+273))))</f>
        <v>5.3611398864660398</v>
      </c>
      <c r="K46" s="201">
        <f>IF(E46=0,"",1.74*ABS(E46-F46)^0.3333333)</f>
        <v>6.36719110944113</v>
      </c>
      <c r="L46" s="200">
        <f>IF(E46=0,"",J46+K46)</f>
        <v>11.72833099590717</v>
      </c>
      <c r="M46" s="202">
        <f>ABS(E46-F46)/((E53+E54))</f>
        <v>117.83629455469287</v>
      </c>
      <c r="N46" s="267">
        <f>IF(E46=0,"",M46*H46*C46/1000)</f>
        <v>178168.47736669565</v>
      </c>
      <c r="O46" s="267">
        <f>IF(E46=0,"",N46*I46)</f>
        <v>8908.423868334783</v>
      </c>
      <c r="P46" s="85">
        <f>N45-N46</f>
        <v>690760.10945807467</v>
      </c>
      <c r="Q46" s="85">
        <f>O45-O46</f>
        <v>34538.005472903737</v>
      </c>
      <c r="R46" s="37"/>
      <c r="S46" s="37"/>
      <c r="T46" s="37"/>
    </row>
    <row r="47" spans="1:22" s="16" customFormat="1" x14ac:dyDescent="0.3">
      <c r="A47" s="886" t="s">
        <v>324</v>
      </c>
      <c r="B47" s="886"/>
      <c r="C47" s="263">
        <f t="shared" si="0"/>
        <v>216</v>
      </c>
      <c r="D47" s="263"/>
      <c r="E47" s="266">
        <f t="shared" si="0"/>
        <v>60</v>
      </c>
      <c r="F47" s="264">
        <f t="shared" si="0"/>
        <v>11</v>
      </c>
      <c r="G47" s="265">
        <f t="shared" si="0"/>
        <v>0.8</v>
      </c>
      <c r="H47" s="264">
        <f t="shared" si="0"/>
        <v>7000</v>
      </c>
      <c r="I47" s="265">
        <f t="shared" si="0"/>
        <v>0.05</v>
      </c>
      <c r="J47" s="200">
        <f>IF(E47=0,"",$D$59*$G$45*(((E47+273)^4-(F47+273)^4)/((E47+273)-(F47+273))))</f>
        <v>5.3611398864660398</v>
      </c>
      <c r="K47" s="201">
        <f>IF(E47=0,"",1.74*ABS(E47-F47)^0.3333333)</f>
        <v>6.36719110944113</v>
      </c>
      <c r="L47" s="200">
        <f>IF(E47=0,"",J47+K47)</f>
        <v>11.72833099590717</v>
      </c>
      <c r="M47" s="202">
        <f>ABS(E47-F47)/((F53+F54))</f>
        <v>27.543300213759576</v>
      </c>
      <c r="N47" s="267">
        <f>IF(E47=0,"",M47*H47*C47/1000)</f>
        <v>41645.469923204473</v>
      </c>
      <c r="O47" s="267">
        <f>IF(E47=0,"",N47*I47)</f>
        <v>2082.2734961602237</v>
      </c>
      <c r="P47" s="85">
        <f>N45-N47</f>
        <v>827283.11690156581</v>
      </c>
      <c r="Q47" s="85">
        <f>O45-O47</f>
        <v>41364.15584507829</v>
      </c>
      <c r="R47" s="370"/>
      <c r="S47" s="370"/>
      <c r="T47" s="370"/>
    </row>
    <row r="48" spans="1:22" s="16" customFormat="1" ht="31.2" x14ac:dyDescent="0.3">
      <c r="A48" s="62"/>
      <c r="B48" s="62"/>
      <c r="C48" s="246"/>
      <c r="D48" s="247"/>
      <c r="E48" s="248" t="s">
        <v>327</v>
      </c>
      <c r="F48" s="249" t="s">
        <v>328</v>
      </c>
      <c r="G48" s="250"/>
      <c r="H48" s="251"/>
      <c r="I48" s="250"/>
      <c r="J48" s="64"/>
      <c r="K48" s="65"/>
      <c r="L48" s="64"/>
      <c r="M48" s="84" t="s">
        <v>178</v>
      </c>
      <c r="N48" s="252"/>
      <c r="O48" s="252"/>
      <c r="P48" s="129"/>
      <c r="Q48" s="129"/>
      <c r="R48" s="37"/>
      <c r="S48" s="37"/>
      <c r="T48" s="37"/>
    </row>
    <row r="49" spans="1:21" s="16" customFormat="1" ht="18" x14ac:dyDescent="0.3">
      <c r="A49" s="68"/>
      <c r="B49" s="62"/>
      <c r="C49" s="938" t="s">
        <v>61</v>
      </c>
      <c r="D49" s="939"/>
      <c r="E49" s="545">
        <f>(E45+(F45+35))/2</f>
        <v>53</v>
      </c>
      <c r="F49" s="545">
        <f>(E45+(F45+20))/2</f>
        <v>45.5</v>
      </c>
      <c r="G49" s="63"/>
      <c r="H49" s="63"/>
      <c r="I49" s="63"/>
      <c r="J49" s="64"/>
      <c r="K49" s="65"/>
      <c r="L49" s="64"/>
      <c r="M49" s="81"/>
      <c r="N49" s="81"/>
      <c r="O49" s="81"/>
      <c r="P49" s="212"/>
      <c r="Q49" s="212"/>
      <c r="R49" s="37"/>
      <c r="S49" s="37"/>
      <c r="T49" s="37"/>
    </row>
    <row r="50" spans="1:21" s="16" customFormat="1" ht="16.2" customHeight="1" x14ac:dyDescent="0.3">
      <c r="A50" s="62"/>
      <c r="B50" s="62"/>
      <c r="C50" s="940" t="s">
        <v>62</v>
      </c>
      <c r="D50" s="941"/>
      <c r="E50" s="268">
        <f>C63+C64*E49+C65*E49^2+C66*E49^3</f>
        <v>4.0334675709299994E-2</v>
      </c>
      <c r="F50" s="268">
        <f>C63+C64*F49+C65*F49^2+C66*F49^3</f>
        <v>3.9360314565487491E-2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37"/>
      <c r="U50" s="16" t="s">
        <v>180</v>
      </c>
    </row>
    <row r="51" spans="1:21" s="16" customFormat="1" ht="16.8" customHeight="1" thickBot="1" x14ac:dyDescent="0.35">
      <c r="A51" s="62"/>
      <c r="B51" s="62"/>
      <c r="C51" s="942" t="s">
        <v>66</v>
      </c>
      <c r="D51" s="943"/>
      <c r="E51" s="180">
        <f>E50*C62</f>
        <v>6.0502013563949991E-2</v>
      </c>
      <c r="F51" s="180">
        <f>F50*C62</f>
        <v>5.9040471848231232E-2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37"/>
    </row>
    <row r="52" spans="1:21" s="16" customFormat="1" ht="15" thickBot="1" x14ac:dyDescent="0.35">
      <c r="A52" s="62"/>
      <c r="B52" s="62"/>
      <c r="C52" s="891" t="s">
        <v>401</v>
      </c>
      <c r="D52" s="892"/>
      <c r="E52" s="270">
        <f>IF((E45-F45)&lt;F63,G63/1000,IF((E45-F45)&lt;F64,G64/1000,IF((E45-F45)&lt;F65,(G65/1000),G66/1000)))</f>
        <v>0.02</v>
      </c>
      <c r="F52" s="270">
        <f>IF((E45-F45)&lt;F63,H63/1000,IF((E45-F45)&lt;F64,H64/1000,IF((E45-F45)&lt;F65,(H65/1000),H66/1000)))</f>
        <v>0.1</v>
      </c>
      <c r="G52" s="65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</row>
    <row r="53" spans="1:21" s="16" customFormat="1" x14ac:dyDescent="0.3">
      <c r="A53" s="62"/>
      <c r="B53" s="62"/>
      <c r="C53" s="917" t="s">
        <v>171</v>
      </c>
      <c r="D53" s="918"/>
      <c r="E53" s="271">
        <f>1/L46</f>
        <v>8.5263623643378542E-2</v>
      </c>
      <c r="F53" s="271">
        <f>1/L47</f>
        <v>8.5263623643378542E-2</v>
      </c>
      <c r="G53" s="64" t="s">
        <v>67</v>
      </c>
      <c r="H53" s="63"/>
      <c r="I53" s="63"/>
      <c r="J53" s="64"/>
      <c r="K53" s="65"/>
      <c r="L53" s="64"/>
      <c r="M53" s="929" t="str">
        <f>IF(E55&gt;M46,"Insulation recommended","System_ok")</f>
        <v>Insulation recommended</v>
      </c>
      <c r="N53" s="930"/>
      <c r="O53" s="930"/>
      <c r="P53" s="930"/>
      <c r="Q53" s="930"/>
      <c r="R53" s="931"/>
      <c r="S53" s="37"/>
      <c r="T53" s="37"/>
    </row>
    <row r="54" spans="1:21" s="16" customFormat="1" x14ac:dyDescent="0.3">
      <c r="A54" s="62"/>
      <c r="B54" s="62"/>
      <c r="C54" s="917" t="s">
        <v>177</v>
      </c>
      <c r="D54" s="918"/>
      <c r="E54" s="272">
        <f>E52/E51</f>
        <v>0.33056751043269345</v>
      </c>
      <c r="F54" s="272">
        <f>F52/F51</f>
        <v>1.6937534011763806</v>
      </c>
      <c r="G54" s="65"/>
      <c r="H54" s="63"/>
      <c r="I54" s="63"/>
      <c r="J54" s="64"/>
      <c r="K54" s="65"/>
      <c r="L54" s="64"/>
      <c r="M54" s="932"/>
      <c r="N54" s="933"/>
      <c r="O54" s="933"/>
      <c r="P54" s="933"/>
      <c r="Q54" s="933"/>
      <c r="R54" s="934"/>
      <c r="S54" s="37"/>
      <c r="T54" s="37"/>
    </row>
    <row r="55" spans="1:21" s="16" customFormat="1" ht="15" thickBot="1" x14ac:dyDescent="0.35">
      <c r="A55" s="62"/>
      <c r="B55" s="62"/>
      <c r="C55" s="919" t="s">
        <v>123</v>
      </c>
      <c r="D55" s="885"/>
      <c r="E55" s="273">
        <f>M45-(10000*D69/I45/H45)</f>
        <v>528.97393308516564</v>
      </c>
      <c r="F55" s="16" t="s">
        <v>118</v>
      </c>
      <c r="G55" s="16" t="s">
        <v>118</v>
      </c>
      <c r="H55" s="63"/>
      <c r="I55" s="63"/>
      <c r="J55" s="64"/>
      <c r="K55" s="65"/>
      <c r="L55" s="64"/>
      <c r="M55" s="935"/>
      <c r="N55" s="936"/>
      <c r="O55" s="936"/>
      <c r="P55" s="936"/>
      <c r="Q55" s="936"/>
      <c r="R55" s="937"/>
      <c r="S55" s="37"/>
      <c r="T55" s="37"/>
    </row>
    <row r="56" spans="1:21" s="16" customFormat="1" x14ac:dyDescent="0.3">
      <c r="A56" s="62"/>
      <c r="B56" s="62"/>
      <c r="C56" s="62"/>
      <c r="D56" s="63"/>
      <c r="E56" s="64"/>
      <c r="F56" s="63"/>
      <c r="G56" s="63"/>
      <c r="H56" s="63"/>
      <c r="I56" s="63"/>
      <c r="J56" s="64"/>
      <c r="K56" s="65"/>
      <c r="L56" s="64"/>
      <c r="M56" s="66"/>
      <c r="N56" s="129"/>
      <c r="O56" s="129"/>
      <c r="P56" s="135"/>
      <c r="Q56" s="135"/>
      <c r="R56" s="37"/>
      <c r="S56" s="37"/>
      <c r="T56" s="37"/>
    </row>
    <row r="57" spans="1:21" s="16" customFormat="1" ht="15" thickBot="1" x14ac:dyDescent="0.35">
      <c r="A57" s="922" t="s">
        <v>119</v>
      </c>
      <c r="B57" s="922"/>
      <c r="C57" s="922"/>
      <c r="D57" s="922"/>
      <c r="E57" s="922"/>
      <c r="F57" s="922"/>
      <c r="G57" s="922"/>
      <c r="H57" s="922"/>
      <c r="I57" s="922"/>
      <c r="J57" s="922"/>
      <c r="K57" s="922"/>
      <c r="L57" s="922"/>
      <c r="M57" s="922"/>
      <c r="N57" s="922"/>
      <c r="O57" s="922"/>
      <c r="P57" s="922"/>
      <c r="Q57" s="922"/>
      <c r="R57" s="922"/>
      <c r="S57" s="922"/>
      <c r="T57" s="922"/>
      <c r="U57" s="16" t="s">
        <v>92</v>
      </c>
    </row>
    <row r="58" spans="1:21" s="2" customFormat="1" ht="15" thickBot="1" x14ac:dyDescent="0.35">
      <c r="A58" s="928" t="s">
        <v>174</v>
      </c>
      <c r="B58" s="921"/>
      <c r="C58" s="921"/>
      <c r="D58" s="262">
        <v>3.1415999999999999</v>
      </c>
      <c r="E58" s="138"/>
      <c r="F58" s="138"/>
      <c r="G58" s="138"/>
      <c r="H58" s="138"/>
      <c r="I58" s="138"/>
      <c r="J58" s="139"/>
      <c r="K58" s="140"/>
      <c r="L58" s="139"/>
      <c r="M58" s="141"/>
      <c r="N58" s="142"/>
      <c r="O58" s="142"/>
      <c r="P58" s="143"/>
      <c r="Q58" s="143"/>
      <c r="R58" s="144"/>
      <c r="S58" s="144"/>
      <c r="T58" s="144"/>
    </row>
    <row r="59" spans="1:21" s="2" customFormat="1" ht="15" thickBot="1" x14ac:dyDescent="0.35">
      <c r="A59" s="920" t="s">
        <v>402</v>
      </c>
      <c r="B59" s="921"/>
      <c r="C59" s="921"/>
      <c r="D59" s="279">
        <v>5.6703669999999997E-8</v>
      </c>
      <c r="E59" s="138"/>
      <c r="F59" s="138"/>
      <c r="G59" s="138"/>
      <c r="H59" s="138"/>
      <c r="I59" s="138"/>
      <c r="J59" s="139"/>
      <c r="K59" s="140"/>
      <c r="L59" s="139"/>
      <c r="M59" s="141"/>
      <c r="N59" s="142"/>
      <c r="O59" s="142"/>
      <c r="P59" s="143"/>
      <c r="Q59" s="143"/>
      <c r="R59" s="144"/>
      <c r="S59" s="144"/>
      <c r="T59" s="144"/>
    </row>
    <row r="60" spans="1:21" s="2" customFormat="1" ht="15" thickBot="1" x14ac:dyDescent="0.35">
      <c r="A60" s="126"/>
      <c r="B60" s="280"/>
      <c r="C60" s="280"/>
      <c r="D60" s="156"/>
      <c r="E60" s="138"/>
      <c r="F60" s="138"/>
      <c r="G60" s="138"/>
      <c r="H60" s="138"/>
      <c r="I60" s="138"/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1" s="2" customFormat="1" ht="15" thickBot="1" x14ac:dyDescent="0.35">
      <c r="A61" s="137"/>
      <c r="B61" s="923" t="s">
        <v>120</v>
      </c>
      <c r="C61" s="924"/>
      <c r="D61" s="137"/>
      <c r="E61" s="925" t="s">
        <v>122</v>
      </c>
      <c r="F61" s="926"/>
      <c r="G61" s="927"/>
      <c r="H61" s="138"/>
      <c r="I61" s="138"/>
      <c r="J61" s="139"/>
      <c r="K61" s="140"/>
      <c r="L61" s="139"/>
      <c r="M61" s="141"/>
      <c r="N61" s="142"/>
      <c r="O61" s="142"/>
      <c r="P61" s="143"/>
      <c r="Q61" s="143"/>
      <c r="R61" s="144"/>
      <c r="S61" s="144"/>
      <c r="T61" s="144"/>
    </row>
    <row r="62" spans="1:21" s="2" customFormat="1" ht="15" thickBot="1" x14ac:dyDescent="0.35">
      <c r="A62" s="126"/>
      <c r="B62" s="98" t="s">
        <v>63</v>
      </c>
      <c r="C62" s="258">
        <v>1.5</v>
      </c>
      <c r="D62" s="138"/>
      <c r="E62" s="75"/>
      <c r="F62" s="76" t="s">
        <v>75</v>
      </c>
      <c r="G62" s="105" t="s">
        <v>319</v>
      </c>
      <c r="H62" s="105" t="s">
        <v>320</v>
      </c>
      <c r="I62" s="139"/>
      <c r="J62" s="140"/>
      <c r="K62" s="139"/>
      <c r="L62" s="141"/>
      <c r="M62" s="142"/>
      <c r="N62" s="142"/>
      <c r="O62" s="143"/>
      <c r="P62" s="143"/>
      <c r="Q62" s="144"/>
      <c r="R62" s="144"/>
      <c r="S62" s="144"/>
      <c r="T62" s="145"/>
    </row>
    <row r="63" spans="1:21" s="2" customFormat="1" x14ac:dyDescent="0.3">
      <c r="A63" s="126"/>
      <c r="B63" s="73" t="s">
        <v>57</v>
      </c>
      <c r="C63" s="96">
        <f>0.0338</f>
        <v>3.3799999999999997E-2</v>
      </c>
      <c r="D63" s="138"/>
      <c r="E63" s="77" t="s">
        <v>91</v>
      </c>
      <c r="F63" s="245">
        <v>80</v>
      </c>
      <c r="G63" s="104">
        <v>20</v>
      </c>
      <c r="H63" s="104">
        <v>100</v>
      </c>
      <c r="I63" s="139"/>
      <c r="J63" s="140"/>
      <c r="K63" s="139"/>
      <c r="L63" s="141"/>
      <c r="M63" s="142"/>
      <c r="N63" s="142"/>
      <c r="O63" s="143"/>
      <c r="P63" s="143"/>
      <c r="Q63" s="144"/>
      <c r="R63" s="144"/>
      <c r="S63" s="144"/>
      <c r="T63" s="145"/>
    </row>
    <row r="64" spans="1:21" s="2" customFormat="1" x14ac:dyDescent="0.3">
      <c r="A64" s="126"/>
      <c r="B64" s="73" t="s">
        <v>58</v>
      </c>
      <c r="C64" s="96">
        <v>1.1730000000000001E-4</v>
      </c>
      <c r="D64" s="138"/>
      <c r="E64" s="77" t="s">
        <v>91</v>
      </c>
      <c r="F64" s="245">
        <v>150</v>
      </c>
      <c r="G64" s="104">
        <v>30</v>
      </c>
      <c r="H64" s="104">
        <v>180</v>
      </c>
      <c r="I64" s="139"/>
      <c r="J64" s="140"/>
      <c r="K64" s="139"/>
      <c r="L64" s="141"/>
      <c r="M64" s="142"/>
      <c r="N64" s="142"/>
      <c r="O64" s="143"/>
      <c r="P64" s="143"/>
      <c r="Q64" s="144"/>
      <c r="R64" s="144"/>
      <c r="S64" s="144"/>
      <c r="T64" s="145"/>
    </row>
    <row r="65" spans="1:27" s="2" customFormat="1" x14ac:dyDescent="0.3">
      <c r="A65" s="126"/>
      <c r="B65" s="73" t="s">
        <v>59</v>
      </c>
      <c r="C65" s="96">
        <v>7.5450000000000004E-8</v>
      </c>
      <c r="D65" s="138"/>
      <c r="E65" s="77" t="s">
        <v>91</v>
      </c>
      <c r="F65" s="245">
        <v>250</v>
      </c>
      <c r="G65" s="104">
        <v>50</v>
      </c>
      <c r="H65" s="104">
        <v>250</v>
      </c>
      <c r="I65" s="139"/>
      <c r="J65" s="140"/>
      <c r="K65" s="139"/>
      <c r="L65" s="141"/>
      <c r="M65" s="142"/>
      <c r="N65" s="142"/>
      <c r="O65" s="143"/>
      <c r="P65" s="143"/>
      <c r="Q65" s="144"/>
      <c r="R65" s="144"/>
      <c r="S65" s="144"/>
      <c r="T65" s="145"/>
    </row>
    <row r="66" spans="1:27" customFormat="1" ht="15" thickBot="1" x14ac:dyDescent="0.35">
      <c r="A66" s="72"/>
      <c r="B66" s="74" t="s">
        <v>60</v>
      </c>
      <c r="C66" s="97">
        <v>7.109E-10</v>
      </c>
      <c r="D66" s="138"/>
      <c r="E66" s="77" t="s">
        <v>91</v>
      </c>
      <c r="F66" s="245"/>
      <c r="G66" s="104">
        <v>80</v>
      </c>
      <c r="H66" s="104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7" customFormat="1" x14ac:dyDescent="0.3">
      <c r="A67" s="72"/>
      <c r="B67" s="155"/>
      <c r="C67" s="156"/>
      <c r="D67" s="138"/>
      <c r="E67" s="138"/>
      <c r="F67" s="139"/>
      <c r="G67" s="140"/>
      <c r="H67" s="139"/>
      <c r="I67" s="141"/>
      <c r="J67" s="145"/>
      <c r="K67" s="145"/>
      <c r="L67" s="143"/>
      <c r="M67" s="143"/>
      <c r="N67" s="145"/>
      <c r="O67" s="916" t="s">
        <v>153</v>
      </c>
      <c r="P67" s="916"/>
      <c r="Q67" s="916"/>
      <c r="R67" s="916"/>
      <c r="S67" s="916"/>
      <c r="T67" s="916"/>
    </row>
    <row r="68" spans="1:27" customFormat="1" x14ac:dyDescent="0.3">
      <c r="A68" s="72"/>
      <c r="B68" s="159"/>
      <c r="C68" s="160"/>
      <c r="D68" s="161"/>
      <c r="E68" s="159"/>
      <c r="F68" s="159"/>
      <c r="G68" s="159"/>
      <c r="H68" s="139"/>
      <c r="I68" s="141"/>
      <c r="J68" s="145"/>
      <c r="K68" s="145"/>
      <c r="L68" s="143"/>
      <c r="M68" s="143"/>
      <c r="N68" s="145"/>
      <c r="O68" s="906" t="s">
        <v>154</v>
      </c>
      <c r="P68" s="906"/>
      <c r="Q68" s="906"/>
      <c r="R68" s="242">
        <v>80</v>
      </c>
      <c r="S68" s="204" t="s">
        <v>72</v>
      </c>
      <c r="T68" s="205"/>
    </row>
    <row r="69" spans="1:27" customFormat="1" x14ac:dyDescent="0.3">
      <c r="A69" s="274"/>
      <c r="B69" s="275" t="s">
        <v>147</v>
      </c>
      <c r="C69" s="276"/>
      <c r="D69" s="277">
        <v>1.6</v>
      </c>
      <c r="E69" s="159"/>
      <c r="F69" s="159"/>
      <c r="G69" s="159"/>
      <c r="H69" s="139"/>
      <c r="I69" s="141"/>
      <c r="J69" s="145"/>
      <c r="K69" s="96"/>
      <c r="L69" s="143"/>
      <c r="M69" s="143"/>
      <c r="N69" s="145"/>
      <c r="O69" s="906" t="s">
        <v>155</v>
      </c>
      <c r="P69" s="906"/>
      <c r="Q69" s="906"/>
      <c r="R69" s="242">
        <v>250</v>
      </c>
      <c r="S69" s="204" t="s">
        <v>72</v>
      </c>
      <c r="T69" s="205"/>
    </row>
    <row r="70" spans="1:27" customFormat="1" x14ac:dyDescent="0.3">
      <c r="A70" s="274"/>
      <c r="B70" s="275" t="s">
        <v>148</v>
      </c>
      <c r="C70" s="276"/>
      <c r="D70" s="277">
        <v>5</v>
      </c>
      <c r="E70" s="159"/>
      <c r="F70" s="159"/>
      <c r="G70" s="159"/>
      <c r="H70" s="139"/>
      <c r="I70" s="141"/>
      <c r="J70" s="145"/>
      <c r="K70" s="145"/>
      <c r="L70" s="143"/>
      <c r="M70" s="143"/>
      <c r="N70" s="145"/>
      <c r="O70" s="906" t="s">
        <v>74</v>
      </c>
      <c r="P70" s="906"/>
      <c r="Q70" s="906"/>
      <c r="R70" s="242">
        <v>5</v>
      </c>
      <c r="S70" s="204" t="s">
        <v>73</v>
      </c>
      <c r="T70" s="205"/>
    </row>
    <row r="71" spans="1:27" customFormat="1" x14ac:dyDescent="0.3">
      <c r="A71" s="907" t="s">
        <v>96</v>
      </c>
      <c r="B71" s="907"/>
      <c r="C71" s="907"/>
      <c r="D71" s="278">
        <v>55</v>
      </c>
      <c r="E71" s="163" t="s">
        <v>23</v>
      </c>
      <c r="F71" s="139"/>
      <c r="G71" s="140"/>
      <c r="H71" s="139"/>
      <c r="I71" s="141"/>
      <c r="J71" s="145"/>
      <c r="K71" s="145"/>
      <c r="L71" s="143"/>
      <c r="M71" s="143"/>
      <c r="N71" s="145"/>
      <c r="O71" s="906" t="s">
        <v>157</v>
      </c>
      <c r="P71" s="906"/>
      <c r="Q71" s="906"/>
      <c r="R71" s="243">
        <f>0.1*R68/R70</f>
        <v>1.6</v>
      </c>
      <c r="S71" s="204"/>
      <c r="T71" s="205"/>
      <c r="U71" t="s">
        <v>124</v>
      </c>
    </row>
    <row r="72" spans="1:27" customFormat="1" x14ac:dyDescent="0.3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906" t="s">
        <v>158</v>
      </c>
      <c r="P72" s="906"/>
      <c r="Q72" s="906"/>
      <c r="R72" s="244">
        <f>0.1*R69/R70</f>
        <v>5</v>
      </c>
      <c r="S72" s="206"/>
      <c r="T72" s="205"/>
    </row>
    <row r="73" spans="1:27" customFormat="1" x14ac:dyDescent="0.3">
      <c r="A73" s="72"/>
      <c r="B73" s="155"/>
      <c r="C73" s="156"/>
      <c r="D73" s="138"/>
      <c r="E73" s="138"/>
      <c r="F73" s="139"/>
      <c r="G73" s="140"/>
      <c r="H73" s="139"/>
      <c r="I73" s="141"/>
      <c r="J73" s="145"/>
      <c r="K73" s="145"/>
      <c r="L73" s="143"/>
      <c r="M73" s="143"/>
      <c r="N73" s="145"/>
      <c r="O73" s="259"/>
      <c r="P73" s="260"/>
      <c r="Q73" s="261"/>
      <c r="R73" s="261"/>
      <c r="S73" s="261"/>
      <c r="T73" s="205"/>
    </row>
    <row r="74" spans="1:27" x14ac:dyDescent="0.3">
      <c r="A74" s="905" t="s">
        <v>52</v>
      </c>
      <c r="B74" s="905"/>
      <c r="C74" s="905"/>
      <c r="D74" s="905"/>
      <c r="E74" s="905"/>
      <c r="F74" s="905"/>
      <c r="G74" s="905"/>
      <c r="H74" s="905"/>
      <c r="I74" s="905"/>
      <c r="J74" s="905"/>
      <c r="K74" s="905"/>
      <c r="L74" s="905"/>
      <c r="M74" s="905"/>
      <c r="N74" s="905"/>
      <c r="O74" s="905"/>
      <c r="P74" s="905"/>
      <c r="Q74" s="905"/>
      <c r="R74" s="905"/>
      <c r="S74" s="905"/>
      <c r="T74" s="905"/>
      <c r="AA74" s="16"/>
    </row>
    <row r="76" spans="1:27" ht="23.4" x14ac:dyDescent="0.3">
      <c r="A76" s="92" t="s">
        <v>76</v>
      </c>
    </row>
    <row r="77" spans="1:27" ht="23.4" x14ac:dyDescent="0.3">
      <c r="A77" s="92" t="s">
        <v>77</v>
      </c>
    </row>
    <row r="78" spans="1:27" ht="22.8" x14ac:dyDescent="0.3">
      <c r="A78" s="92" t="s">
        <v>97</v>
      </c>
    </row>
    <row r="79" spans="1:27" ht="23.4" x14ac:dyDescent="0.3">
      <c r="A79" s="92" t="s">
        <v>78</v>
      </c>
      <c r="W79" s="17"/>
      <c r="X79" s="17"/>
      <c r="Y79" s="17"/>
      <c r="Z79" s="17"/>
    </row>
    <row r="80" spans="1:27" ht="23.4" x14ac:dyDescent="0.3">
      <c r="A80" s="92" t="s">
        <v>79</v>
      </c>
      <c r="W80" s="17"/>
      <c r="X80" s="17"/>
      <c r="Y80" s="17"/>
      <c r="Z80" s="17"/>
    </row>
    <row r="81" spans="1:20" ht="23.4" x14ac:dyDescent="0.3">
      <c r="A81" s="93" t="s">
        <v>326</v>
      </c>
      <c r="L81" s="17" t="s">
        <v>413</v>
      </c>
    </row>
    <row r="82" spans="1:20" ht="23.4" x14ac:dyDescent="0.3">
      <c r="A82" s="94" t="s">
        <v>80</v>
      </c>
    </row>
    <row r="83" spans="1:20" ht="23.4" x14ac:dyDescent="0.3">
      <c r="A83" s="93" t="s">
        <v>81</v>
      </c>
    </row>
    <row r="84" spans="1:20" ht="23.4" x14ac:dyDescent="0.3">
      <c r="A84" s="91" t="s">
        <v>82</v>
      </c>
    </row>
    <row r="85" spans="1:20" ht="23.4" x14ac:dyDescent="0.3">
      <c r="A85" s="91" t="s">
        <v>83</v>
      </c>
    </row>
    <row r="86" spans="1:20" ht="23.4" x14ac:dyDescent="0.3">
      <c r="A86" s="91" t="s">
        <v>84</v>
      </c>
    </row>
    <row r="87" spans="1:20" ht="23.4" x14ac:dyDescent="0.3">
      <c r="A87" s="92" t="s">
        <v>85</v>
      </c>
    </row>
    <row r="88" spans="1:20" ht="23.4" x14ac:dyDescent="0.3">
      <c r="A88" s="70" t="s">
        <v>86</v>
      </c>
    </row>
    <row r="89" spans="1:20" ht="23.4" x14ac:dyDescent="0.3">
      <c r="A89" s="70" t="s">
        <v>87</v>
      </c>
    </row>
    <row r="94" spans="1:20" ht="57.6" x14ac:dyDescent="0.3">
      <c r="A94" s="893" t="s">
        <v>5</v>
      </c>
      <c r="B94" s="894"/>
      <c r="C94" s="550" t="s">
        <v>403</v>
      </c>
      <c r="D94" s="88"/>
      <c r="E94" s="88" t="s">
        <v>404</v>
      </c>
      <c r="F94" s="88" t="s">
        <v>405</v>
      </c>
      <c r="G94" s="88" t="s">
        <v>406</v>
      </c>
      <c r="H94" s="88" t="s">
        <v>407</v>
      </c>
      <c r="I94" s="88" t="s">
        <v>408</v>
      </c>
      <c r="J94" s="587" t="s">
        <v>14</v>
      </c>
      <c r="K94" s="89" t="s">
        <v>409</v>
      </c>
      <c r="L94" s="587" t="s">
        <v>27</v>
      </c>
      <c r="M94" s="84" t="s">
        <v>178</v>
      </c>
      <c r="N94" s="86" t="s">
        <v>94</v>
      </c>
      <c r="O94" s="86" t="s">
        <v>95</v>
      </c>
      <c r="P94" s="548" t="s">
        <v>70</v>
      </c>
      <c r="Q94" s="548"/>
      <c r="R94" s="895"/>
      <c r="S94" s="895"/>
      <c r="T94" s="895"/>
    </row>
    <row r="95" spans="1:20" ht="18" x14ac:dyDescent="0.3">
      <c r="A95" s="886"/>
      <c r="B95" s="886"/>
      <c r="C95" s="263"/>
      <c r="D95" s="263"/>
      <c r="E95" s="264"/>
      <c r="F95" s="264"/>
      <c r="G95" s="265"/>
      <c r="H95" s="264"/>
      <c r="I95" s="265"/>
      <c r="J95" s="588">
        <v>1</v>
      </c>
      <c r="K95" s="588">
        <v>2</v>
      </c>
      <c r="L95" s="588">
        <v>3</v>
      </c>
      <c r="M95" s="588">
        <v>4</v>
      </c>
      <c r="N95" s="589">
        <v>5</v>
      </c>
      <c r="O95" s="589">
        <v>6</v>
      </c>
      <c r="P95" s="127" t="s">
        <v>71</v>
      </c>
      <c r="Q95" s="127" t="s">
        <v>24</v>
      </c>
      <c r="R95" s="896"/>
      <c r="S95" s="896"/>
      <c r="T95" s="896"/>
    </row>
    <row r="96" spans="1:20" ht="15.6" x14ac:dyDescent="0.3">
      <c r="A96" s="886" t="s">
        <v>323</v>
      </c>
      <c r="B96" s="886"/>
      <c r="C96" s="263"/>
      <c r="D96" s="263"/>
      <c r="E96" s="266"/>
      <c r="F96" s="264"/>
      <c r="G96" s="265"/>
      <c r="H96" s="264"/>
      <c r="I96" s="265"/>
      <c r="J96" s="588">
        <v>1</v>
      </c>
      <c r="K96" s="588">
        <v>2</v>
      </c>
      <c r="L96" s="588">
        <v>3</v>
      </c>
      <c r="M96" s="267">
        <v>20</v>
      </c>
      <c r="N96" s="267">
        <v>5</v>
      </c>
      <c r="O96" s="267">
        <v>6</v>
      </c>
      <c r="P96" s="590">
        <v>26</v>
      </c>
      <c r="Q96" s="590">
        <v>28</v>
      </c>
      <c r="R96" s="546"/>
      <c r="S96" s="546"/>
      <c r="T96" s="546"/>
    </row>
    <row r="97" spans="1:20" ht="15.6" x14ac:dyDescent="0.3">
      <c r="A97" s="886" t="s">
        <v>324</v>
      </c>
      <c r="B97" s="886"/>
      <c r="C97" s="263"/>
      <c r="D97" s="263"/>
      <c r="E97" s="266"/>
      <c r="F97" s="264"/>
      <c r="G97" s="265"/>
      <c r="H97" s="264"/>
      <c r="I97" s="265"/>
      <c r="J97" s="588">
        <v>1</v>
      </c>
      <c r="K97" s="588">
        <v>2</v>
      </c>
      <c r="L97" s="588">
        <v>3</v>
      </c>
      <c r="M97" s="267">
        <v>21</v>
      </c>
      <c r="N97" s="267">
        <v>5</v>
      </c>
      <c r="O97" s="267">
        <v>6</v>
      </c>
      <c r="P97" s="590">
        <v>27</v>
      </c>
      <c r="Q97" s="590">
        <v>29</v>
      </c>
      <c r="R97" s="546"/>
      <c r="S97" s="546"/>
      <c r="T97" s="546"/>
    </row>
    <row r="98" spans="1:20" ht="31.2" x14ac:dyDescent="0.3">
      <c r="A98" s="62"/>
      <c r="B98" s="62"/>
      <c r="C98" s="246"/>
      <c r="D98" s="247"/>
      <c r="E98" s="248" t="s">
        <v>327</v>
      </c>
      <c r="F98" s="249" t="s">
        <v>328</v>
      </c>
      <c r="G98" s="250"/>
      <c r="H98" s="251"/>
      <c r="I98" s="250"/>
      <c r="J98" s="64"/>
      <c r="K98" s="65"/>
      <c r="L98" s="64"/>
      <c r="M98" s="84" t="s">
        <v>178</v>
      </c>
      <c r="N98" s="549"/>
      <c r="O98" s="549"/>
      <c r="P98" s="129"/>
      <c r="Q98" s="129"/>
      <c r="R98" s="546"/>
      <c r="S98" s="546"/>
      <c r="T98" s="546"/>
    </row>
    <row r="99" spans="1:20" ht="18" x14ac:dyDescent="0.3">
      <c r="A99" s="68"/>
      <c r="B99" s="62"/>
      <c r="C99" s="887" t="s">
        <v>61</v>
      </c>
      <c r="D99" s="888"/>
      <c r="E99" s="588">
        <v>7</v>
      </c>
      <c r="F99" s="588">
        <v>8</v>
      </c>
      <c r="G99" s="63"/>
      <c r="H99" s="63"/>
      <c r="I99" s="63"/>
      <c r="J99" s="64"/>
      <c r="K99" s="65"/>
      <c r="L99" s="64"/>
      <c r="M99" s="81"/>
      <c r="N99" s="81"/>
      <c r="O99" s="81"/>
      <c r="P99" s="547"/>
      <c r="Q99" s="547"/>
      <c r="R99" s="546"/>
      <c r="S99" s="546"/>
      <c r="T99" s="546"/>
    </row>
    <row r="100" spans="1:20" ht="15.6" x14ac:dyDescent="0.3">
      <c r="A100" s="62"/>
      <c r="B100" s="62"/>
      <c r="C100" s="887" t="s">
        <v>411</v>
      </c>
      <c r="D100" s="888"/>
      <c r="E100" s="588">
        <v>9</v>
      </c>
      <c r="F100" s="588">
        <v>10</v>
      </c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  <c r="R100" s="546"/>
      <c r="S100" s="546"/>
      <c r="T100" s="546"/>
    </row>
    <row r="101" spans="1:20" ht="16.2" thickBot="1" x14ac:dyDescent="0.35">
      <c r="A101" s="62"/>
      <c r="B101" s="62"/>
      <c r="C101" s="889" t="s">
        <v>410</v>
      </c>
      <c r="D101" s="890"/>
      <c r="E101" s="588">
        <v>11</v>
      </c>
      <c r="F101" s="588">
        <v>12</v>
      </c>
      <c r="G101" s="63"/>
      <c r="H101" s="63"/>
      <c r="I101" s="63"/>
      <c r="J101" s="64"/>
      <c r="K101" s="65"/>
      <c r="L101" s="64"/>
      <c r="M101" s="66"/>
      <c r="N101" s="135"/>
      <c r="O101" s="135"/>
      <c r="P101" s="129"/>
      <c r="Q101" s="129"/>
      <c r="R101" s="546"/>
      <c r="S101" s="546"/>
      <c r="T101" s="546"/>
    </row>
    <row r="102" spans="1:20" ht="16.2" thickBot="1" x14ac:dyDescent="0.35">
      <c r="A102" s="62"/>
      <c r="B102" s="62"/>
      <c r="C102" s="891" t="s">
        <v>412</v>
      </c>
      <c r="D102" s="892"/>
      <c r="E102" s="588">
        <v>13</v>
      </c>
      <c r="F102" s="588">
        <v>14</v>
      </c>
      <c r="G102" s="65" t="s">
        <v>56</v>
      </c>
      <c r="H102" s="63"/>
      <c r="I102" s="63"/>
      <c r="J102" s="64"/>
      <c r="K102" s="65"/>
      <c r="L102" s="64"/>
      <c r="M102" s="66"/>
      <c r="N102" s="129"/>
      <c r="O102" s="129"/>
      <c r="P102" s="135"/>
      <c r="Q102" s="135"/>
      <c r="R102" s="546"/>
      <c r="S102" s="546"/>
      <c r="T102" s="546"/>
    </row>
    <row r="103" spans="1:20" ht="15.6" x14ac:dyDescent="0.3">
      <c r="A103" s="62"/>
      <c r="B103" s="62"/>
      <c r="C103" s="873" t="s">
        <v>171</v>
      </c>
      <c r="D103" s="874"/>
      <c r="E103" s="588">
        <v>15</v>
      </c>
      <c r="F103" s="588">
        <v>16</v>
      </c>
      <c r="G103" s="64" t="s">
        <v>67</v>
      </c>
      <c r="H103" s="63"/>
      <c r="I103" s="63"/>
      <c r="J103" s="64"/>
      <c r="K103" s="65"/>
      <c r="L103" s="64"/>
      <c r="M103" s="875">
        <v>30</v>
      </c>
      <c r="N103" s="876"/>
      <c r="O103" s="876"/>
      <c r="P103" s="876"/>
      <c r="Q103" s="876"/>
      <c r="R103" s="877"/>
      <c r="S103" s="546"/>
      <c r="T103" s="546"/>
    </row>
    <row r="104" spans="1:20" ht="15.6" x14ac:dyDescent="0.3">
      <c r="A104" s="62"/>
      <c r="B104" s="62"/>
      <c r="C104" s="873" t="s">
        <v>177</v>
      </c>
      <c r="D104" s="874"/>
      <c r="E104" s="588">
        <v>17</v>
      </c>
      <c r="F104" s="588">
        <v>18</v>
      </c>
      <c r="G104" s="65"/>
      <c r="H104" s="63"/>
      <c r="I104" s="63"/>
      <c r="J104" s="64"/>
      <c r="K104" s="65"/>
      <c r="L104" s="64"/>
      <c r="M104" s="878"/>
      <c r="N104" s="879"/>
      <c r="O104" s="879"/>
      <c r="P104" s="879"/>
      <c r="Q104" s="879"/>
      <c r="R104" s="880"/>
      <c r="S104" s="546"/>
      <c r="T104" s="546"/>
    </row>
    <row r="105" spans="1:20" ht="16.2" thickBot="1" x14ac:dyDescent="0.35">
      <c r="A105" s="62"/>
      <c r="B105" s="62"/>
      <c r="C105" s="884" t="s">
        <v>123</v>
      </c>
      <c r="D105" s="885"/>
      <c r="E105" s="588">
        <v>19</v>
      </c>
      <c r="F105" s="16" t="s">
        <v>118</v>
      </c>
      <c r="G105" s="16" t="s">
        <v>118</v>
      </c>
      <c r="H105" s="63"/>
      <c r="I105" s="63"/>
      <c r="J105" s="64"/>
      <c r="K105" s="65"/>
      <c r="L105" s="64"/>
      <c r="M105" s="881"/>
      <c r="N105" s="882"/>
      <c r="O105" s="882"/>
      <c r="P105" s="882"/>
      <c r="Q105" s="882"/>
      <c r="R105" s="883"/>
      <c r="S105" s="546"/>
      <c r="T105" s="546"/>
    </row>
  </sheetData>
  <mergeCells count="73">
    <mergeCell ref="R45:T45"/>
    <mergeCell ref="A44:B44"/>
    <mergeCell ref="A45:B45"/>
    <mergeCell ref="A58:C58"/>
    <mergeCell ref="A46:B46"/>
    <mergeCell ref="M53:R55"/>
    <mergeCell ref="C49:D49"/>
    <mergeCell ref="C50:D50"/>
    <mergeCell ref="C51:D51"/>
    <mergeCell ref="C52:D52"/>
    <mergeCell ref="A47:B47"/>
    <mergeCell ref="R44:T44"/>
    <mergeCell ref="O67:T67"/>
    <mergeCell ref="C53:D53"/>
    <mergeCell ref="C54:D54"/>
    <mergeCell ref="C55:D55"/>
    <mergeCell ref="A59:C59"/>
    <mergeCell ref="A57:T57"/>
    <mergeCell ref="B61:C61"/>
    <mergeCell ref="E61:G61"/>
    <mergeCell ref="N5:O6"/>
    <mergeCell ref="Q14:R15"/>
    <mergeCell ref="O16:P17"/>
    <mergeCell ref="Q16:R17"/>
    <mergeCell ref="C17:E18"/>
    <mergeCell ref="F17:G18"/>
    <mergeCell ref="M18:N21"/>
    <mergeCell ref="Q18:R19"/>
    <mergeCell ref="Q20:R21"/>
    <mergeCell ref="C5:E6"/>
    <mergeCell ref="K5:M6"/>
    <mergeCell ref="K8:M9"/>
    <mergeCell ref="G5:J6"/>
    <mergeCell ref="O14:P15"/>
    <mergeCell ref="H13:H14"/>
    <mergeCell ref="N8:O9"/>
    <mergeCell ref="A74:T74"/>
    <mergeCell ref="O70:Q70"/>
    <mergeCell ref="O72:Q72"/>
    <mergeCell ref="O68:Q68"/>
    <mergeCell ref="O69:Q69"/>
    <mergeCell ref="O71:Q71"/>
    <mergeCell ref="A71:C71"/>
    <mergeCell ref="P43:Q43"/>
    <mergeCell ref="C13:E14"/>
    <mergeCell ref="C25:E26"/>
    <mergeCell ref="C21:E22"/>
    <mergeCell ref="P8:P9"/>
    <mergeCell ref="F13:G14"/>
    <mergeCell ref="F25:G26"/>
    <mergeCell ref="H25:H26"/>
    <mergeCell ref="F21:G22"/>
    <mergeCell ref="H21:H22"/>
    <mergeCell ref="M14:N17"/>
    <mergeCell ref="O18:O19"/>
    <mergeCell ref="P18:P19"/>
    <mergeCell ref="O20:O21"/>
    <mergeCell ref="P20:P21"/>
    <mergeCell ref="M25:P27"/>
    <mergeCell ref="A94:B94"/>
    <mergeCell ref="R94:T94"/>
    <mergeCell ref="A95:B95"/>
    <mergeCell ref="R95:T95"/>
    <mergeCell ref="A96:B96"/>
    <mergeCell ref="C103:D103"/>
    <mergeCell ref="M103:R105"/>
    <mergeCell ref="C104:D104"/>
    <mergeCell ref="C105:D105"/>
    <mergeCell ref="A97:B97"/>
    <mergeCell ref="C99:D99"/>
    <mergeCell ref="C100:D100"/>
    <mergeCell ref="C101:D101"/>
    <mergeCell ref="C102:D102"/>
  </mergeCells>
  <conditionalFormatting sqref="F25:G26">
    <cfRule type="cellIs" dxfId="10" priority="1" operator="greaterThan">
      <formula>55</formula>
    </cfRule>
  </conditionalFormatting>
  <dataValidations count="1">
    <dataValidation type="list" allowBlank="1" showInputMessage="1" showErrorMessage="1" promptTitle="Select a value " sqref="F17" xr:uid="{50651DD4-B10B-42BF-8233-47DBF97561A4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C1A9FFB0-E9C4-4F61-A660-8B63B5225B91}">
          <x14:formula1>
            <xm:f>'Default values '!$C$2:$C$10</xm:f>
          </x14:formula1>
          <xm:sqref>N5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04975-4EE1-452B-A9B7-93E4C0922BFE}">
  <dimension ref="A1:AA129"/>
  <sheetViews>
    <sheetView topLeftCell="A61" workbookViewId="0">
      <selection activeCell="J70" sqref="J70"/>
    </sheetView>
  </sheetViews>
  <sheetFormatPr defaultRowHeight="14.4" x14ac:dyDescent="0.3"/>
  <cols>
    <col min="1" max="2" width="5.21875" style="17" customWidth="1"/>
    <col min="3" max="3" width="15.4414062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1.554687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</row>
    <row r="2" spans="1:24" ht="15" customHeight="1" x14ac:dyDescent="0.3">
      <c r="A2" s="4"/>
      <c r="B2" s="15"/>
      <c r="C2" s="15"/>
      <c r="D2" s="15"/>
      <c r="E2" s="15"/>
      <c r="F2" s="15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U2" s="164"/>
    </row>
    <row r="3" spans="1:24" ht="3.6" customHeight="1" x14ac:dyDescent="0.3">
      <c r="A3" s="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4"/>
      <c r="U3" s="164"/>
    </row>
    <row r="4" spans="1:24" ht="5.4" customHeight="1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24"/>
      <c r="U4" s="164"/>
    </row>
    <row r="5" spans="1:24" s="23" customFormat="1" ht="15" customHeight="1" x14ac:dyDescent="0.3">
      <c r="A5" s="26"/>
      <c r="B5" s="28"/>
      <c r="C5" s="864" t="s">
        <v>16</v>
      </c>
      <c r="D5" s="864"/>
      <c r="E5" s="864"/>
      <c r="F5" s="32" t="s">
        <v>40</v>
      </c>
      <c r="G5" s="284" t="s">
        <v>367</v>
      </c>
      <c r="H5" s="284"/>
      <c r="I5" s="284"/>
      <c r="J5" s="284"/>
      <c r="K5" s="866" t="s">
        <v>15</v>
      </c>
      <c r="L5" s="866"/>
      <c r="M5" s="866"/>
      <c r="N5" s="908" t="s">
        <v>143</v>
      </c>
      <c r="O5" s="908"/>
      <c r="P5" s="32">
        <f>VLOOKUP(N5,'Default values '!C2:D10,2,TRUE)</f>
        <v>3000</v>
      </c>
      <c r="Q5" s="28"/>
      <c r="R5" s="28"/>
      <c r="S5" s="28"/>
      <c r="T5" s="25"/>
      <c r="U5" s="392"/>
      <c r="V5" s="22"/>
      <c r="W5" s="22"/>
      <c r="X5" s="22"/>
    </row>
    <row r="6" spans="1:24" ht="15" customHeight="1" x14ac:dyDescent="0.35">
      <c r="A6" s="4"/>
      <c r="B6" s="14"/>
      <c r="C6" s="864"/>
      <c r="D6" s="864"/>
      <c r="E6" s="864"/>
      <c r="F6" s="32"/>
      <c r="G6" s="284"/>
      <c r="H6" s="284"/>
      <c r="I6" s="284"/>
      <c r="J6" s="284"/>
      <c r="K6" s="866"/>
      <c r="L6" s="866"/>
      <c r="M6" s="866"/>
      <c r="N6" s="908"/>
      <c r="O6" s="908"/>
      <c r="P6" s="14"/>
      <c r="Q6" s="14"/>
      <c r="R6" s="14"/>
      <c r="S6" s="14"/>
    </row>
    <row r="7" spans="1:24" ht="15" customHeight="1" x14ac:dyDescent="0.35">
      <c r="A7" s="4"/>
      <c r="B7" s="14"/>
      <c r="C7" s="44"/>
      <c r="D7" s="44"/>
      <c r="E7" s="44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5">
      <c r="A8" s="4"/>
      <c r="B8" s="14"/>
      <c r="C8" s="44"/>
      <c r="D8" s="44"/>
      <c r="E8" s="44"/>
      <c r="F8" s="47"/>
      <c r="G8" s="285"/>
      <c r="H8" s="285"/>
      <c r="I8" s="285"/>
      <c r="J8" s="285"/>
      <c r="K8" s="866"/>
      <c r="L8" s="866"/>
      <c r="M8" s="866"/>
      <c r="N8" s="868"/>
      <c r="O8" s="868"/>
      <c r="P8" s="869"/>
      <c r="Q8" s="14"/>
      <c r="R8" s="14"/>
      <c r="S8" s="14"/>
    </row>
    <row r="9" spans="1:24" s="23" customFormat="1" ht="15" customHeight="1" x14ac:dyDescent="0.35">
      <c r="A9" s="4"/>
      <c r="B9" s="14"/>
      <c r="C9" s="44"/>
      <c r="D9" s="44"/>
      <c r="E9" s="44"/>
      <c r="F9" s="47"/>
      <c r="G9" s="285"/>
      <c r="H9" s="285"/>
      <c r="I9" s="285"/>
      <c r="J9" s="285"/>
      <c r="K9" s="866"/>
      <c r="L9" s="866"/>
      <c r="M9" s="866"/>
      <c r="N9" s="868"/>
      <c r="O9" s="868"/>
      <c r="P9" s="869"/>
      <c r="Q9" s="26"/>
      <c r="R9" s="26"/>
      <c r="S9" s="26"/>
      <c r="T9" s="22"/>
      <c r="U9" s="22"/>
      <c r="V9" s="22"/>
      <c r="W9" s="22"/>
      <c r="X9" s="22"/>
    </row>
    <row r="10" spans="1:24" ht="15" customHeight="1" x14ac:dyDescent="0.35">
      <c r="A10" s="4"/>
      <c r="B10" s="14"/>
      <c r="C10" s="44"/>
      <c r="D10" s="44"/>
      <c r="E10" s="44"/>
      <c r="F10" s="47"/>
      <c r="G10" s="47"/>
      <c r="H10" s="47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</row>
    <row r="11" spans="1:24" ht="15" customHeight="1" thickBot="1" x14ac:dyDescent="0.4">
      <c r="A11" s="4"/>
      <c r="B11" s="14"/>
      <c r="C11" s="14"/>
      <c r="D11" s="14"/>
      <c r="E11" s="14"/>
      <c r="F11" s="14"/>
      <c r="G11" s="14"/>
      <c r="H11" s="1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</row>
    <row r="12" spans="1:24" ht="15" customHeight="1" thickTop="1" x14ac:dyDescent="0.35">
      <c r="A12" s="4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4"/>
      <c r="M12" s="15"/>
      <c r="N12" s="15"/>
      <c r="O12" s="15"/>
      <c r="P12" s="15"/>
      <c r="Q12" s="15"/>
      <c r="R12" s="15"/>
      <c r="S12" s="4"/>
    </row>
    <row r="13" spans="1:24" s="23" customFormat="1" ht="15" customHeight="1" x14ac:dyDescent="0.3">
      <c r="A13" s="26"/>
      <c r="B13" s="31"/>
      <c r="C13" s="964" t="s">
        <v>449</v>
      </c>
      <c r="D13" s="965">
        <v>200</v>
      </c>
      <c r="E13" s="965"/>
      <c r="F13" s="869"/>
      <c r="G13" s="866" t="s">
        <v>55</v>
      </c>
      <c r="H13" s="866"/>
      <c r="I13" s="960">
        <v>10</v>
      </c>
      <c r="J13" s="960"/>
      <c r="K13" s="963" t="s">
        <v>56</v>
      </c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</row>
    <row r="14" spans="1:24" ht="15" customHeight="1" x14ac:dyDescent="0.3">
      <c r="A14" s="4"/>
      <c r="B14" s="8"/>
      <c r="C14" s="964"/>
      <c r="D14" s="965"/>
      <c r="E14" s="965"/>
      <c r="F14" s="869"/>
      <c r="G14" s="866"/>
      <c r="H14" s="866"/>
      <c r="I14" s="960"/>
      <c r="J14" s="960"/>
      <c r="K14" s="963"/>
      <c r="L14" s="26"/>
      <c r="M14" s="958" t="s">
        <v>175</v>
      </c>
      <c r="N14" s="958"/>
      <c r="O14" s="915">
        <f>IF(F25=0,"",S45)</f>
        <v>1750.7283385631929</v>
      </c>
      <c r="P14" s="915"/>
      <c r="Q14" s="909" t="str">
        <f>IF(F25="","","kWh/a")</f>
        <v>kWh/a</v>
      </c>
      <c r="R14" s="909"/>
      <c r="S14" s="4"/>
    </row>
    <row r="15" spans="1:24" ht="15" customHeight="1" x14ac:dyDescent="0.3">
      <c r="A15" s="4"/>
      <c r="B15" s="8"/>
      <c r="C15" s="4"/>
      <c r="D15" s="4"/>
      <c r="E15" s="4"/>
      <c r="F15" s="33"/>
      <c r="G15" s="33"/>
      <c r="H15" s="4"/>
      <c r="I15" s="15"/>
      <c r="J15" s="15"/>
      <c r="K15" s="45"/>
      <c r="L15" s="15"/>
      <c r="M15" s="958"/>
      <c r="N15" s="958"/>
      <c r="O15" s="915"/>
      <c r="P15" s="915"/>
      <c r="Q15" s="909"/>
      <c r="R15" s="909"/>
      <c r="S15" s="4"/>
    </row>
    <row r="16" spans="1:24" ht="15" customHeight="1" x14ac:dyDescent="0.3">
      <c r="A16" s="4"/>
      <c r="B16" s="8"/>
      <c r="C16" s="4"/>
      <c r="D16" s="4"/>
      <c r="E16" s="4"/>
      <c r="F16" s="33"/>
      <c r="G16" s="33"/>
      <c r="H16" s="4"/>
      <c r="I16" s="27"/>
      <c r="J16" s="27"/>
      <c r="K16" s="45"/>
      <c r="L16" s="27"/>
      <c r="M16" s="958"/>
      <c r="N16" s="958"/>
      <c r="O16" s="910">
        <f>IF(F25=0,"",T45)</f>
        <v>87.536416928159653</v>
      </c>
      <c r="P16" s="910"/>
      <c r="Q16" s="911" t="str">
        <f>IF(F25=0,"","€/a")</f>
        <v>€/a</v>
      </c>
      <c r="R16" s="911"/>
      <c r="S16" s="4"/>
    </row>
    <row r="17" spans="1:24" s="23" customFormat="1" ht="15" customHeight="1" x14ac:dyDescent="0.3">
      <c r="A17" s="26"/>
      <c r="B17" s="31"/>
      <c r="C17" s="869" t="s">
        <v>109</v>
      </c>
      <c r="D17" s="869"/>
      <c r="E17" s="869"/>
      <c r="F17" s="908" t="s">
        <v>377</v>
      </c>
      <c r="G17" s="908"/>
      <c r="H17" s="52">
        <f>IF(F17="","",VLOOKUP(F17,'Default values '!A2:B7,2,FALSE))</f>
        <v>0.6</v>
      </c>
      <c r="I17" s="27"/>
      <c r="J17" s="27"/>
      <c r="K17" s="51"/>
      <c r="L17" s="27"/>
      <c r="M17" s="958"/>
      <c r="N17" s="958"/>
      <c r="O17" s="910"/>
      <c r="P17" s="910"/>
      <c r="Q17" s="911"/>
      <c r="R17" s="911"/>
      <c r="S17" s="26"/>
      <c r="T17" s="22"/>
      <c r="U17" s="22"/>
      <c r="V17" s="22"/>
      <c r="W17" s="22"/>
      <c r="X17" s="22"/>
    </row>
    <row r="18" spans="1:24" ht="15" customHeight="1" x14ac:dyDescent="0.3">
      <c r="A18" s="4"/>
      <c r="B18" s="8"/>
      <c r="C18" s="869"/>
      <c r="D18" s="869"/>
      <c r="E18" s="869"/>
      <c r="F18" s="908"/>
      <c r="G18" s="908"/>
      <c r="H18" s="15"/>
      <c r="I18" s="4"/>
      <c r="J18" s="4"/>
      <c r="K18" s="9"/>
      <c r="L18" s="4"/>
      <c r="M18" s="779" t="s">
        <v>176</v>
      </c>
      <c r="N18" s="779"/>
      <c r="O18" s="980">
        <f>IF(F25=0,"",U46)</f>
        <v>1180.0042951967296</v>
      </c>
      <c r="P18" s="980">
        <f>IF(F25=0,"",U47)</f>
        <v>1558.2779287475862</v>
      </c>
      <c r="Q18" s="961" t="str">
        <f>IF(O18="","","kWh/a")</f>
        <v>kWh/a</v>
      </c>
      <c r="R18" s="961"/>
      <c r="S18" s="4"/>
    </row>
    <row r="19" spans="1:24" ht="15" customHeight="1" x14ac:dyDescent="0.3">
      <c r="A19" s="4"/>
      <c r="B19" s="8"/>
      <c r="C19" s="15"/>
      <c r="D19" s="15"/>
      <c r="E19" s="15"/>
      <c r="F19" s="33"/>
      <c r="G19" s="33"/>
      <c r="H19" s="15"/>
      <c r="I19" s="4"/>
      <c r="J19" s="4"/>
      <c r="K19" s="9"/>
      <c r="L19" s="4"/>
      <c r="M19" s="779"/>
      <c r="N19" s="779"/>
      <c r="O19" s="980"/>
      <c r="P19" s="980"/>
      <c r="Q19" s="961"/>
      <c r="R19" s="961"/>
      <c r="S19" s="4"/>
    </row>
    <row r="20" spans="1:24" ht="15" customHeight="1" x14ac:dyDescent="0.3">
      <c r="A20" s="4"/>
      <c r="B20" s="8"/>
      <c r="C20" s="4"/>
      <c r="D20" s="4"/>
      <c r="E20" s="4"/>
      <c r="F20" s="33"/>
      <c r="G20" s="33"/>
      <c r="H20" s="4"/>
      <c r="I20" s="4"/>
      <c r="J20" s="4"/>
      <c r="K20" s="9"/>
      <c r="L20" s="4"/>
      <c r="M20" s="779"/>
      <c r="N20" s="779"/>
      <c r="O20" s="981">
        <f>IF(F25=0,"",V46)</f>
        <v>59.000214759836481</v>
      </c>
      <c r="P20" s="981">
        <f>IF(F25=0,"",V47)</f>
        <v>77.913896437379321</v>
      </c>
      <c r="Q20" s="962" t="str">
        <f>IF(F25=0,"","€/a")</f>
        <v>€/a</v>
      </c>
      <c r="R20" s="962"/>
      <c r="S20" s="4"/>
    </row>
    <row r="21" spans="1:24" s="23" customFormat="1" ht="15" customHeight="1" x14ac:dyDescent="0.3">
      <c r="A21" s="26"/>
      <c r="B21" s="31"/>
      <c r="C21" s="869" t="s">
        <v>39</v>
      </c>
      <c r="D21" s="869"/>
      <c r="E21" s="869"/>
      <c r="F21" s="898">
        <v>20</v>
      </c>
      <c r="G21" s="898"/>
      <c r="H21" s="869" t="s">
        <v>23</v>
      </c>
      <c r="I21" s="26"/>
      <c r="J21" s="26"/>
      <c r="K21" s="51"/>
      <c r="L21" s="26"/>
      <c r="M21" s="779"/>
      <c r="N21" s="779"/>
      <c r="O21" s="981"/>
      <c r="P21" s="981"/>
      <c r="Q21" s="962"/>
      <c r="R21" s="962"/>
      <c r="S21" s="26"/>
      <c r="T21" s="22"/>
      <c r="U21" s="22"/>
      <c r="V21" s="22"/>
      <c r="W21" s="22"/>
      <c r="X21" s="22"/>
    </row>
    <row r="22" spans="1:24" ht="15" customHeight="1" x14ac:dyDescent="0.3">
      <c r="A22" s="4"/>
      <c r="B22" s="8"/>
      <c r="C22" s="869"/>
      <c r="D22" s="869"/>
      <c r="E22" s="869"/>
      <c r="F22" s="898"/>
      <c r="G22" s="898"/>
      <c r="H22" s="869"/>
      <c r="I22" s="4"/>
      <c r="J22" s="4"/>
      <c r="K22" s="9"/>
      <c r="L22" s="4"/>
      <c r="M22" s="46"/>
      <c r="N22" s="46"/>
      <c r="O22" s="46"/>
      <c r="P22" s="46"/>
      <c r="Q22" s="46"/>
      <c r="R22" s="46"/>
      <c r="S22" s="4"/>
    </row>
    <row r="23" spans="1:24" ht="15" customHeight="1" x14ac:dyDescent="0.3">
      <c r="A23" s="4"/>
      <c r="B23" s="8"/>
      <c r="C23" s="4"/>
      <c r="D23" s="4"/>
      <c r="E23" s="4"/>
      <c r="F23" s="4"/>
      <c r="G23" s="4"/>
      <c r="H23" s="18"/>
      <c r="I23" s="19"/>
      <c r="J23" s="19"/>
      <c r="K23" s="45"/>
      <c r="L23" s="4"/>
      <c r="M23" s="50"/>
      <c r="N23" s="48"/>
      <c r="O23" s="48"/>
      <c r="P23" s="48"/>
      <c r="Q23" s="48"/>
      <c r="R23" s="48"/>
      <c r="S23" s="4"/>
    </row>
    <row r="24" spans="1:24" ht="15" customHeight="1" x14ac:dyDescent="0.3">
      <c r="A24" s="4"/>
      <c r="B24" s="8"/>
      <c r="C24" s="4"/>
      <c r="D24" s="4"/>
      <c r="E24" s="4"/>
      <c r="F24" s="4"/>
      <c r="G24" s="4"/>
      <c r="H24" s="19"/>
      <c r="I24" s="19"/>
      <c r="J24" s="19"/>
      <c r="K24" s="45"/>
      <c r="L24" s="4"/>
      <c r="M24" s="54"/>
      <c r="N24" s="49"/>
      <c r="O24" s="49"/>
      <c r="P24" s="49"/>
      <c r="Q24" s="48"/>
      <c r="R24" s="48"/>
      <c r="S24" s="4"/>
    </row>
    <row r="25" spans="1:24" ht="15" customHeight="1" x14ac:dyDescent="0.3">
      <c r="A25" s="26"/>
      <c r="B25" s="8"/>
      <c r="C25" s="869" t="s">
        <v>317</v>
      </c>
      <c r="D25" s="869"/>
      <c r="E25" s="869"/>
      <c r="F25" s="898">
        <v>32</v>
      </c>
      <c r="G25" s="898"/>
      <c r="H25" s="869" t="s">
        <v>23</v>
      </c>
      <c r="I25" s="19"/>
      <c r="J25" s="19"/>
      <c r="K25" s="45"/>
      <c r="L25" s="4"/>
      <c r="M25" s="904" t="str">
        <f>IF(F25="","",O54)</f>
        <v>System_ok</v>
      </c>
      <c r="N25" s="904"/>
      <c r="O25" s="904"/>
      <c r="P25" s="904"/>
      <c r="Q25" s="48"/>
      <c r="R25" s="48"/>
      <c r="S25" s="4"/>
    </row>
    <row r="26" spans="1:24" ht="15" customHeight="1" x14ac:dyDescent="0.3">
      <c r="A26" s="4"/>
      <c r="B26" s="8"/>
      <c r="C26" s="869"/>
      <c r="D26" s="869"/>
      <c r="E26" s="869"/>
      <c r="F26" s="898"/>
      <c r="G26" s="898"/>
      <c r="H26" s="869"/>
      <c r="I26" s="19"/>
      <c r="J26" s="19"/>
      <c r="K26" s="45"/>
      <c r="L26" s="4"/>
      <c r="M26" s="904"/>
      <c r="N26" s="904"/>
      <c r="O26" s="904"/>
      <c r="P26" s="904"/>
      <c r="Q26" s="48"/>
      <c r="R26" s="4"/>
      <c r="S26" s="4"/>
    </row>
    <row r="27" spans="1:24" ht="15" customHeight="1" thickBot="1" x14ac:dyDescent="0.35">
      <c r="A27" s="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4"/>
      <c r="M27" s="904"/>
      <c r="N27" s="904"/>
      <c r="O27" s="904"/>
      <c r="P27" s="904"/>
      <c r="Q27" s="48"/>
      <c r="R27" s="4"/>
      <c r="S27" s="4"/>
    </row>
    <row r="28" spans="1:24" ht="15" customHeight="1" thickTop="1" thickBot="1" x14ac:dyDescent="0.35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</row>
    <row r="29" spans="1:24" ht="15" customHeight="1" thickTop="1" x14ac:dyDescent="0.3">
      <c r="A29" s="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4"/>
    </row>
    <row r="30" spans="1:24" x14ac:dyDescent="0.3">
      <c r="A30" s="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7" x14ac:dyDescent="0.3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7" x14ac:dyDescent="0.3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7" x14ac:dyDescent="0.3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7" x14ac:dyDescent="0.3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7" x14ac:dyDescent="0.3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7" x14ac:dyDescent="0.3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7" x14ac:dyDescent="0.3">
      <c r="A39" s="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7" x14ac:dyDescent="0.3">
      <c r="A40" s="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7" x14ac:dyDescent="0.3">
      <c r="A41" s="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7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7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27" ht="72.599999999999994" thickBot="1" x14ac:dyDescent="0.35">
      <c r="A44" s="893" t="s">
        <v>5</v>
      </c>
      <c r="B44" s="894"/>
      <c r="C44" s="87" t="s">
        <v>169</v>
      </c>
      <c r="D44" s="87" t="s">
        <v>112</v>
      </c>
      <c r="E44" s="87" t="s">
        <v>113</v>
      </c>
      <c r="F44" s="88"/>
      <c r="G44" s="88" t="s">
        <v>318</v>
      </c>
      <c r="H44" s="88" t="s">
        <v>31</v>
      </c>
      <c r="I44" s="90" t="s">
        <v>88</v>
      </c>
      <c r="J44" s="88" t="s">
        <v>69</v>
      </c>
      <c r="K44" s="88" t="s">
        <v>68</v>
      </c>
      <c r="L44" s="89" t="s">
        <v>14</v>
      </c>
      <c r="M44" s="118" t="s">
        <v>116</v>
      </c>
      <c r="N44" s="89" t="s">
        <v>163</v>
      </c>
      <c r="O44" s="89" t="s">
        <v>115</v>
      </c>
      <c r="P44" s="89" t="s">
        <v>27</v>
      </c>
      <c r="Q44" s="119" t="s">
        <v>117</v>
      </c>
      <c r="R44" s="84" t="s">
        <v>416</v>
      </c>
      <c r="S44" s="86" t="s">
        <v>94</v>
      </c>
      <c r="T44" s="86" t="s">
        <v>95</v>
      </c>
      <c r="U44" s="966" t="s">
        <v>70</v>
      </c>
      <c r="V44" s="966"/>
      <c r="W44" s="120"/>
      <c r="X44" s="120"/>
      <c r="Y44" s="16"/>
      <c r="Z44" s="16"/>
      <c r="AA44" s="16"/>
    </row>
    <row r="45" spans="1:27" ht="18.600000000000001" thickBot="1" x14ac:dyDescent="0.35">
      <c r="A45" s="956" t="str">
        <f>G5</f>
        <v>Pipe 2119</v>
      </c>
      <c r="B45" s="957"/>
      <c r="C45" s="231">
        <f>D13</f>
        <v>200</v>
      </c>
      <c r="D45" s="234">
        <f>VLOOKUP(C45,A75:B114,2,TRUE)</f>
        <v>0.22</v>
      </c>
      <c r="E45" s="233">
        <f>I13</f>
        <v>10</v>
      </c>
      <c r="F45" s="231"/>
      <c r="G45" s="232">
        <f>F25</f>
        <v>32</v>
      </c>
      <c r="H45" s="232">
        <f>F21</f>
        <v>20</v>
      </c>
      <c r="I45" s="236">
        <f>H17</f>
        <v>0.6</v>
      </c>
      <c r="J45" s="232">
        <f>P5</f>
        <v>3000</v>
      </c>
      <c r="K45" s="236">
        <f>TBi!L27</f>
        <v>0.05</v>
      </c>
      <c r="L45" s="131">
        <f>IF(G45=0,"",I45*$D$60*(((G45+273)^4-(H45+273)^4)/(G45-H45)))</f>
        <v>3.6392410416077037</v>
      </c>
      <c r="M45" s="167">
        <f>D45^3*ABS(G45-H45)</f>
        <v>0.127776</v>
      </c>
      <c r="N45" s="132">
        <f>IF(G45=0,"",1.25*((ABS(G45-H45))/D45)^0.25)</f>
        <v>3.3970321280954119</v>
      </c>
      <c r="O45" s="132">
        <f>1.21*(ABS(G45-H45))^0.33</f>
        <v>2.7473575368701515</v>
      </c>
      <c r="P45" s="132">
        <f>IF(M45&lt;10,N45+L45,O45+L45)</f>
        <v>7.0362731697031151</v>
      </c>
      <c r="Q45" s="168">
        <f>1/(D59*P45*D45)</f>
        <v>0.20562870439136707</v>
      </c>
      <c r="R45" s="133">
        <f>IF(G45=0,"",ABS(G45-H45)/Q45)</f>
        <v>58.357611285439759</v>
      </c>
      <c r="S45" s="134">
        <f>IF(G45=0,"",R45*E45*J45/1000)</f>
        <v>1750.7283385631929</v>
      </c>
      <c r="T45" s="182">
        <f>IF(G45=0,"",S45*K45)</f>
        <v>87.536416928159653</v>
      </c>
      <c r="U45" s="127" t="s">
        <v>71</v>
      </c>
      <c r="V45" s="127" t="s">
        <v>24</v>
      </c>
      <c r="W45" s="123"/>
      <c r="X45" s="123"/>
      <c r="Y45" s="16"/>
      <c r="Z45" s="16"/>
      <c r="AA45" s="16"/>
    </row>
    <row r="46" spans="1:27" ht="15" thickBot="1" x14ac:dyDescent="0.35">
      <c r="A46" s="956" t="s">
        <v>323</v>
      </c>
      <c r="B46" s="957"/>
      <c r="C46" s="231"/>
      <c r="D46" s="595">
        <f>E53</f>
        <v>0.26</v>
      </c>
      <c r="E46" s="233">
        <f t="shared" ref="E46:K47" si="0">E45</f>
        <v>10</v>
      </c>
      <c r="F46" s="231"/>
      <c r="G46" s="235">
        <f t="shared" si="0"/>
        <v>32</v>
      </c>
      <c r="H46" s="232">
        <f t="shared" si="0"/>
        <v>20</v>
      </c>
      <c r="I46" s="236">
        <f t="shared" si="0"/>
        <v>0.6</v>
      </c>
      <c r="J46" s="232">
        <f t="shared" si="0"/>
        <v>3000</v>
      </c>
      <c r="K46" s="236">
        <f t="shared" si="0"/>
        <v>0.05</v>
      </c>
      <c r="L46" s="131">
        <f>IF(G46=0,"",I46*$D$60*(((G46+273)^4-(H46+273)^4)/(G46-H46)))</f>
        <v>3.6392410416077037</v>
      </c>
      <c r="M46" s="167">
        <f>D46^3*ABS(G46-H46)</f>
        <v>0.21091200000000002</v>
      </c>
      <c r="N46" s="132">
        <f>IF(G46=0,"",1.25*(ABS(G46-H46)/D46)^0.25)</f>
        <v>3.2580818275644314</v>
      </c>
      <c r="O46" s="132">
        <f>1.21*(ABS(G46-H46))^0.33</f>
        <v>2.7473575368701515</v>
      </c>
      <c r="P46" s="132">
        <f>IF(M46&lt;10,N46+L46,O46+L46)</f>
        <v>6.8973228691721351</v>
      </c>
      <c r="Q46" s="168">
        <f>1/(D59*P46*D46)</f>
        <v>0.17749871267012735</v>
      </c>
      <c r="R46" s="133">
        <f>ABS(G45-H45)/(E54+Q46)</f>
        <v>19.024134778882107</v>
      </c>
      <c r="S46" s="238">
        <f>IF(G46=0,"",R46*J46*E46/1000)</f>
        <v>570.72404336646332</v>
      </c>
      <c r="T46" s="239">
        <f>IF(G46=0,"",S46*K46)</f>
        <v>28.536202168323168</v>
      </c>
      <c r="U46" s="85">
        <f>S45-S46</f>
        <v>1180.0042951967296</v>
      </c>
      <c r="V46" s="85">
        <f>T45-T46</f>
        <v>59.000214759836481</v>
      </c>
      <c r="W46" s="123"/>
      <c r="X46" s="123"/>
      <c r="Y46" s="16"/>
      <c r="Z46" s="16"/>
      <c r="AA46" s="16"/>
    </row>
    <row r="47" spans="1:27" x14ac:dyDescent="0.3">
      <c r="A47" s="956" t="s">
        <v>324</v>
      </c>
      <c r="B47" s="957"/>
      <c r="C47" s="396"/>
      <c r="D47" s="595">
        <f>F53</f>
        <v>0.42000000000000004</v>
      </c>
      <c r="E47" s="233">
        <f t="shared" si="0"/>
        <v>10</v>
      </c>
      <c r="F47" s="396"/>
      <c r="G47" s="235">
        <f t="shared" si="0"/>
        <v>32</v>
      </c>
      <c r="H47" s="232">
        <f t="shared" si="0"/>
        <v>20</v>
      </c>
      <c r="I47" s="236">
        <f t="shared" si="0"/>
        <v>0.6</v>
      </c>
      <c r="J47" s="232">
        <f t="shared" si="0"/>
        <v>3000</v>
      </c>
      <c r="K47" s="236">
        <f t="shared" si="0"/>
        <v>0.05</v>
      </c>
      <c r="L47" s="131">
        <f>IF(G47=0,"",I47*$D$60*(((G47+273)^4-(H47+273)^4)/(G47-H47)))</f>
        <v>3.6392410416077037</v>
      </c>
      <c r="M47" s="167">
        <f>D47^3*ABS(G47-H47)</f>
        <v>0.88905600000000018</v>
      </c>
      <c r="N47" s="132">
        <f>IF(G47=0,"",1.25*(ABS(G47-H47)/D47)^0.25)</f>
        <v>2.8899677869767442</v>
      </c>
      <c r="O47" s="132">
        <f>1.21*(ABS(G47-H47))^0.33</f>
        <v>2.7473575368701515</v>
      </c>
      <c r="P47" s="132">
        <f>IF(M47&lt;10,N47+L47,O47+L47)</f>
        <v>6.5292088285844478</v>
      </c>
      <c r="Q47" s="168">
        <f>1/(D59*P47*D47)</f>
        <v>0.11607515229432841</v>
      </c>
      <c r="R47" s="133">
        <f>ABS(G47-H47)/(F54+Q47)</f>
        <v>6.4150136605202217</v>
      </c>
      <c r="S47" s="238">
        <f>IF(G47=0,"",R47*J47*E47/1000)</f>
        <v>192.45040981560666</v>
      </c>
      <c r="T47" s="239">
        <f>IF(G47=0,"",S47*K47)</f>
        <v>9.6225204907803334</v>
      </c>
      <c r="U47" s="430">
        <f>S45-S47</f>
        <v>1558.2779287475862</v>
      </c>
      <c r="V47" s="430">
        <f>T45-T47</f>
        <v>77.913896437379321</v>
      </c>
      <c r="W47" s="123"/>
      <c r="X47" s="123"/>
      <c r="Y47" s="16"/>
      <c r="Z47" s="16"/>
      <c r="AA47" s="16"/>
    </row>
    <row r="48" spans="1:27" s="16" customFormat="1" ht="29.4" thickBot="1" x14ac:dyDescent="0.35">
      <c r="A48" s="62"/>
      <c r="B48" s="62"/>
      <c r="C48" s="62"/>
      <c r="D48" s="62"/>
      <c r="E48" s="63" t="s">
        <v>321</v>
      </c>
      <c r="F48" s="63" t="s">
        <v>322</v>
      </c>
      <c r="G48" s="63"/>
      <c r="H48" s="63"/>
      <c r="I48" s="63"/>
      <c r="J48" s="64"/>
      <c r="K48" s="65"/>
      <c r="L48" s="64"/>
      <c r="M48" s="66"/>
      <c r="N48" s="135"/>
      <c r="O48" s="135"/>
      <c r="P48" s="959"/>
      <c r="Q48" s="959"/>
      <c r="R48" s="330" t="s">
        <v>225</v>
      </c>
      <c r="S48" s="37"/>
      <c r="T48" s="37"/>
    </row>
    <row r="49" spans="1:22" s="16" customFormat="1" ht="18.600000000000001" thickBot="1" x14ac:dyDescent="0.35">
      <c r="A49" s="68"/>
      <c r="B49" s="62"/>
      <c r="C49" s="887" t="s">
        <v>61</v>
      </c>
      <c r="D49" s="888"/>
      <c r="E49" s="282">
        <f>(G45+(H45+35))/2</f>
        <v>43.5</v>
      </c>
      <c r="F49" s="282">
        <f>(G45+(H45+20))/2</f>
        <v>36</v>
      </c>
      <c r="G49" s="63"/>
      <c r="H49" s="63"/>
      <c r="I49" s="63"/>
      <c r="J49" s="64"/>
      <c r="K49" s="65"/>
      <c r="L49" s="81"/>
      <c r="M49" s="81"/>
      <c r="N49" s="81"/>
      <c r="O49" s="81"/>
      <c r="P49" s="212"/>
      <c r="Q49" s="212"/>
      <c r="R49" s="37"/>
      <c r="S49" s="37"/>
      <c r="T49" s="37"/>
    </row>
    <row r="50" spans="1:22" s="16" customFormat="1" ht="16.2" customHeight="1" thickBot="1" x14ac:dyDescent="0.35">
      <c r="A50" s="62"/>
      <c r="B50" s="62"/>
      <c r="C50" s="887" t="s">
        <v>411</v>
      </c>
      <c r="D50" s="888"/>
      <c r="E50" s="283">
        <f>C63+C64*E49+C65*E49^2+C66*E49^3</f>
        <v>3.9103836485337495E-2</v>
      </c>
      <c r="F50" s="283">
        <f>C63+C64*E49+C65*E49^2+C66*E49^3</f>
        <v>3.9103836485337495E-2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181</v>
      </c>
    </row>
    <row r="51" spans="1:22" s="16" customFormat="1" ht="16.8" customHeight="1" thickBot="1" x14ac:dyDescent="0.35">
      <c r="A51" s="62"/>
      <c r="B51" s="62"/>
      <c r="C51" s="889" t="s">
        <v>410</v>
      </c>
      <c r="D51" s="890"/>
      <c r="E51" s="281">
        <f>E50*C62</f>
        <v>5.8655754728006243E-2</v>
      </c>
      <c r="F51" s="281">
        <f>E51</f>
        <v>5.8655754728006243E-2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" thickBot="1" x14ac:dyDescent="0.35">
      <c r="A52" s="62"/>
      <c r="B52" s="62"/>
      <c r="C52" s="891" t="s">
        <v>412</v>
      </c>
      <c r="D52" s="892"/>
      <c r="E52" s="429">
        <f>IF((E45-G45)&lt;F63,G63/1000,IF((E45-G45)&lt;F64,G64/1000,IF((E45-G45)&lt;F65,(G65/1000),G66/1000)))</f>
        <v>0.02</v>
      </c>
      <c r="F52" s="429">
        <f>IF((G45-H45)&lt;F63,H63/1000,IF((G45-H45)&lt;F64,H64/1000,IF((G45-H45)&lt;F65,(H65/1000),H66/1000)))</f>
        <v>0.1</v>
      </c>
      <c r="G52" s="149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" thickBot="1" x14ac:dyDescent="0.35">
      <c r="A53" s="62"/>
      <c r="B53" s="62"/>
      <c r="C53" s="976" t="s">
        <v>415</v>
      </c>
      <c r="D53" s="977" t="s">
        <v>172</v>
      </c>
      <c r="E53" s="429">
        <f>D45+2*E52</f>
        <v>0.26</v>
      </c>
      <c r="F53" s="429">
        <f>D45+2*F52</f>
        <v>0.42000000000000004</v>
      </c>
      <c r="G53" s="230" t="s">
        <v>56</v>
      </c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" thickBot="1" x14ac:dyDescent="0.35">
      <c r="A54" s="62"/>
      <c r="B54" s="62"/>
      <c r="C54" s="976" t="s">
        <v>173</v>
      </c>
      <c r="D54" s="977"/>
      <c r="E54" s="152">
        <f>LN(E53/D45)/(2*D59*E51)</f>
        <v>0.4532789883647021</v>
      </c>
      <c r="F54" s="152">
        <f>LN(F53/D45)/(2*D59*F51)</f>
        <v>1.7545366086519245</v>
      </c>
      <c r="G54" s="63"/>
      <c r="H54" s="63"/>
      <c r="I54" s="63"/>
      <c r="J54" s="64"/>
      <c r="K54" s="65"/>
      <c r="L54" s="64"/>
      <c r="M54" s="66"/>
      <c r="N54" s="129"/>
      <c r="O54" s="967" t="str">
        <f>IF(E55&gt;R46,"Insulation recommended","System_ok")</f>
        <v>System_ok</v>
      </c>
      <c r="P54" s="968"/>
      <c r="Q54" s="968"/>
      <c r="R54" s="968"/>
      <c r="S54" s="968"/>
      <c r="T54" s="969"/>
    </row>
    <row r="55" spans="1:22" s="16" customFormat="1" ht="15" thickBot="1" x14ac:dyDescent="0.35">
      <c r="A55" s="62"/>
      <c r="B55" s="62"/>
      <c r="C55" s="976" t="s">
        <v>149</v>
      </c>
      <c r="D55" s="977"/>
      <c r="E55" s="158">
        <f>R45-(10000*D69*E56/J45/K45)</f>
        <v>-28.769428714560235</v>
      </c>
      <c r="F55" s="158"/>
      <c r="G55" s="17" t="s">
        <v>183</v>
      </c>
      <c r="H55" s="63"/>
      <c r="I55" s="63"/>
      <c r="J55" s="64"/>
      <c r="K55" s="65"/>
      <c r="L55" s="64"/>
      <c r="M55" s="66"/>
      <c r="N55" s="129"/>
      <c r="O55" s="970"/>
      <c r="P55" s="971"/>
      <c r="Q55" s="971"/>
      <c r="R55" s="971"/>
      <c r="S55" s="971"/>
      <c r="T55" s="972"/>
    </row>
    <row r="56" spans="1:22" s="16" customFormat="1" ht="15" thickBot="1" x14ac:dyDescent="0.35">
      <c r="A56" s="62"/>
      <c r="B56" s="62"/>
      <c r="C56" s="978" t="s">
        <v>414</v>
      </c>
      <c r="D56" s="979"/>
      <c r="E56" s="152">
        <f>3.1416*(E53)</f>
        <v>0.81681599999999999</v>
      </c>
      <c r="F56" s="152"/>
      <c r="G56" s="63"/>
      <c r="H56" s="63"/>
      <c r="I56" s="63"/>
      <c r="J56" s="64"/>
      <c r="K56" s="65"/>
      <c r="L56" s="64"/>
      <c r="M56" s="66"/>
      <c r="N56" s="129"/>
      <c r="O56" s="973"/>
      <c r="P56" s="974"/>
      <c r="Q56" s="974"/>
      <c r="R56" s="974"/>
      <c r="S56" s="974"/>
      <c r="T56" s="975"/>
    </row>
    <row r="57" spans="1:22" s="16" customFormat="1" x14ac:dyDescent="0.3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" thickBot="1" x14ac:dyDescent="0.35">
      <c r="A58" s="947" t="s">
        <v>119</v>
      </c>
      <c r="B58" s="947"/>
      <c r="C58" s="947"/>
      <c r="D58" s="947"/>
      <c r="E58" s="947"/>
      <c r="F58" s="947"/>
      <c r="G58" s="947"/>
      <c r="H58" s="947"/>
      <c r="I58" s="947"/>
      <c r="J58" s="947"/>
      <c r="K58" s="947"/>
      <c r="L58" s="947"/>
      <c r="M58" s="947"/>
      <c r="N58" s="947"/>
      <c r="O58" s="947"/>
      <c r="P58" s="947"/>
      <c r="Q58" s="947"/>
      <c r="R58" s="947"/>
      <c r="S58" s="947"/>
      <c r="T58" s="947"/>
      <c r="U58" s="16" t="s">
        <v>92</v>
      </c>
    </row>
    <row r="59" spans="1:22" s="2" customFormat="1" ht="15" thickBot="1" x14ac:dyDescent="0.35">
      <c r="A59" s="948" t="s">
        <v>174</v>
      </c>
      <c r="B59" s="949"/>
      <c r="C59" s="949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42"/>
      <c r="O59" s="142"/>
      <c r="P59" s="143"/>
      <c r="Q59" s="143"/>
      <c r="R59" s="144"/>
      <c r="S59" s="144"/>
      <c r="T59" s="144"/>
    </row>
    <row r="60" spans="1:22" s="2" customFormat="1" ht="15" thickBot="1" x14ac:dyDescent="0.35">
      <c r="A60" s="950" t="s">
        <v>90</v>
      </c>
      <c r="B60" s="949"/>
      <c r="C60" s="949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42"/>
      <c r="O60" s="142"/>
      <c r="P60" s="143"/>
      <c r="Q60" s="143"/>
      <c r="R60" s="144"/>
      <c r="S60" s="144"/>
      <c r="T60" s="144"/>
    </row>
    <row r="61" spans="1:22" s="2" customFormat="1" ht="15" thickBot="1" x14ac:dyDescent="0.35">
      <c r="A61" s="169"/>
      <c r="B61" s="951" t="s">
        <v>120</v>
      </c>
      <c r="C61" s="952"/>
      <c r="D61" s="169"/>
      <c r="E61" s="953" t="s">
        <v>122</v>
      </c>
      <c r="F61" s="954"/>
      <c r="G61" s="955"/>
      <c r="H61" s="63"/>
      <c r="I61" s="138"/>
      <c r="J61" s="139"/>
      <c r="K61" s="140"/>
      <c r="L61" s="139"/>
      <c r="M61" s="141"/>
      <c r="N61" s="142"/>
      <c r="O61" s="142"/>
      <c r="P61" s="143"/>
      <c r="Q61" s="143"/>
      <c r="R61" s="144"/>
      <c r="S61" s="144"/>
      <c r="T61" s="144"/>
    </row>
    <row r="62" spans="1:22" s="2" customFormat="1" ht="15" thickBot="1" x14ac:dyDescent="0.35">
      <c r="A62" s="170"/>
      <c r="B62" s="171" t="s">
        <v>63</v>
      </c>
      <c r="C62" s="237">
        <v>1.5</v>
      </c>
      <c r="D62" s="63"/>
      <c r="E62" s="524"/>
      <c r="F62" s="525" t="s">
        <v>75</v>
      </c>
      <c r="G62" s="526" t="s">
        <v>319</v>
      </c>
      <c r="H62" s="526" t="s">
        <v>320</v>
      </c>
      <c r="I62" s="139"/>
      <c r="J62" s="140"/>
      <c r="K62" s="139"/>
      <c r="L62" s="141"/>
      <c r="M62" s="142"/>
      <c r="N62" s="142"/>
      <c r="O62" s="143"/>
      <c r="P62" s="143"/>
      <c r="Q62" s="144"/>
      <c r="R62" s="144"/>
      <c r="S62" s="144"/>
      <c r="T62" s="145"/>
    </row>
    <row r="63" spans="1:22" s="2" customFormat="1" x14ac:dyDescent="0.3">
      <c r="A63" s="170"/>
      <c r="B63" s="172" t="s">
        <v>57</v>
      </c>
      <c r="C63" s="173">
        <f>0.0338</f>
        <v>3.3799999999999997E-2</v>
      </c>
      <c r="D63" s="63"/>
      <c r="E63" s="527" t="s">
        <v>91</v>
      </c>
      <c r="F63" s="528">
        <v>80</v>
      </c>
      <c r="G63" s="529">
        <v>20</v>
      </c>
      <c r="H63" s="529">
        <v>100</v>
      </c>
      <c r="I63" s="139"/>
      <c r="J63" s="140"/>
      <c r="K63" s="139"/>
      <c r="L63" s="141"/>
      <c r="M63" s="142"/>
      <c r="N63" s="142"/>
      <c r="O63" s="143"/>
      <c r="P63" s="143"/>
      <c r="Q63" s="144"/>
      <c r="R63" s="144"/>
      <c r="S63" s="144"/>
      <c r="T63" s="145"/>
    </row>
    <row r="64" spans="1:22" s="2" customFormat="1" x14ac:dyDescent="0.3">
      <c r="A64" s="170"/>
      <c r="B64" s="172" t="s">
        <v>58</v>
      </c>
      <c r="C64" s="173">
        <v>1.1730000000000001E-4</v>
      </c>
      <c r="D64" s="63"/>
      <c r="E64" s="527" t="s">
        <v>91</v>
      </c>
      <c r="F64" s="528">
        <v>150</v>
      </c>
      <c r="G64" s="529">
        <v>30</v>
      </c>
      <c r="H64" s="529">
        <v>180</v>
      </c>
      <c r="I64" s="139"/>
      <c r="J64" s="140"/>
      <c r="K64" s="139"/>
      <c r="L64" s="141"/>
      <c r="M64" s="142"/>
      <c r="N64" s="142"/>
      <c r="O64" s="143"/>
      <c r="P64" s="143"/>
      <c r="Q64" s="144"/>
      <c r="R64" s="144"/>
      <c r="S64" s="144"/>
      <c r="T64" s="145"/>
    </row>
    <row r="65" spans="1:24" s="2" customFormat="1" x14ac:dyDescent="0.3">
      <c r="A65" s="170"/>
      <c r="B65" s="172" t="s">
        <v>59</v>
      </c>
      <c r="C65" s="173">
        <v>7.5450000000000004E-8</v>
      </c>
      <c r="D65" s="63"/>
      <c r="E65" s="527" t="s">
        <v>91</v>
      </c>
      <c r="F65" s="528">
        <v>250</v>
      </c>
      <c r="G65" s="529">
        <v>50</v>
      </c>
      <c r="H65" s="529">
        <v>250</v>
      </c>
      <c r="I65" s="139"/>
      <c r="J65" s="140"/>
      <c r="K65" s="139"/>
      <c r="L65" s="141"/>
      <c r="M65" s="142"/>
      <c r="N65" s="142"/>
      <c r="O65" s="143"/>
      <c r="P65" s="143"/>
      <c r="Q65" s="144"/>
      <c r="R65" s="144"/>
      <c r="S65" s="144"/>
      <c r="T65" s="145"/>
    </row>
    <row r="66" spans="1:24" customFormat="1" ht="15" thickBot="1" x14ac:dyDescent="0.35">
      <c r="A66" s="62"/>
      <c r="B66" s="174" t="s">
        <v>60</v>
      </c>
      <c r="C66" s="175">
        <v>7.109E-10</v>
      </c>
      <c r="D66" s="63"/>
      <c r="E66" s="527" t="s">
        <v>91</v>
      </c>
      <c r="F66" s="528"/>
      <c r="G66" s="529">
        <v>80</v>
      </c>
      <c r="H66" s="529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3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916" t="s">
        <v>153</v>
      </c>
      <c r="P67" s="916"/>
      <c r="Q67" s="916"/>
      <c r="R67" s="916"/>
      <c r="S67" s="916"/>
      <c r="T67" s="916"/>
    </row>
    <row r="68" spans="1:24" customFormat="1" ht="15" thickBot="1" x14ac:dyDescent="0.35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906" t="s">
        <v>154</v>
      </c>
      <c r="P68" s="906"/>
      <c r="Q68" s="906"/>
      <c r="R68" s="242">
        <v>80</v>
      </c>
      <c r="S68" s="204" t="s">
        <v>72</v>
      </c>
      <c r="T68" s="205"/>
    </row>
    <row r="69" spans="1:24" customFormat="1" ht="15" thickBot="1" x14ac:dyDescent="0.35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906" t="s">
        <v>155</v>
      </c>
      <c r="P69" s="906"/>
      <c r="Q69" s="906"/>
      <c r="R69" s="242">
        <v>250</v>
      </c>
      <c r="S69" s="204" t="s">
        <v>72</v>
      </c>
      <c r="T69" s="205"/>
    </row>
    <row r="70" spans="1:24" customFormat="1" ht="15" thickBot="1" x14ac:dyDescent="0.35">
      <c r="A70" s="944" t="s">
        <v>159</v>
      </c>
      <c r="B70" s="945"/>
      <c r="C70" s="946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906" t="s">
        <v>74</v>
      </c>
      <c r="P70" s="906"/>
      <c r="Q70" s="906"/>
      <c r="R70" s="242">
        <v>5</v>
      </c>
      <c r="S70" s="204" t="s">
        <v>73</v>
      </c>
      <c r="T70" s="205"/>
      <c r="U70" t="s">
        <v>124</v>
      </c>
    </row>
    <row r="71" spans="1:24" customFormat="1" ht="15" thickBot="1" x14ac:dyDescent="0.35">
      <c r="A71" s="944" t="s">
        <v>96</v>
      </c>
      <c r="B71" s="945"/>
      <c r="C71" s="946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906" t="s">
        <v>157</v>
      </c>
      <c r="P71" s="906"/>
      <c r="Q71" s="906"/>
      <c r="R71" s="243">
        <f>0.1*R68/R70</f>
        <v>1.6</v>
      </c>
      <c r="S71" s="204"/>
      <c r="T71" s="205"/>
      <c r="U71" t="s">
        <v>182</v>
      </c>
    </row>
    <row r="72" spans="1:24" customFormat="1" x14ac:dyDescent="0.3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906" t="s">
        <v>158</v>
      </c>
      <c r="P72" s="906"/>
      <c r="Q72" s="906"/>
      <c r="R72" s="244">
        <f>0.1*R69/R70</f>
        <v>5</v>
      </c>
      <c r="S72" s="206"/>
      <c r="T72" s="205"/>
    </row>
    <row r="73" spans="1:24" s="2" customFormat="1" x14ac:dyDescent="0.3">
      <c r="A73" s="62"/>
      <c r="B73" s="95"/>
      <c r="C73" s="176"/>
      <c r="D73" s="63"/>
      <c r="E73" s="63"/>
      <c r="F73" s="64"/>
      <c r="G73" s="65"/>
      <c r="H73" s="64"/>
      <c r="I73" s="66"/>
      <c r="L73" s="289"/>
      <c r="M73" s="289"/>
      <c r="O73" s="520"/>
      <c r="P73" s="520"/>
      <c r="Q73" s="520"/>
      <c r="R73" s="530"/>
      <c r="S73" s="370"/>
    </row>
    <row r="74" spans="1:24" x14ac:dyDescent="0.3">
      <c r="A74" s="286" t="s">
        <v>169</v>
      </c>
      <c r="B74" s="286" t="s">
        <v>54</v>
      </c>
    </row>
    <row r="75" spans="1:24" x14ac:dyDescent="0.3">
      <c r="A75" s="287">
        <v>10</v>
      </c>
      <c r="B75" s="288">
        <v>1.7999999999999999E-2</v>
      </c>
      <c r="S75" s="16"/>
      <c r="X75" s="17"/>
    </row>
    <row r="76" spans="1:24" x14ac:dyDescent="0.3">
      <c r="A76" s="287">
        <v>15</v>
      </c>
      <c r="B76" s="288">
        <v>2.1999999999999999E-2</v>
      </c>
      <c r="S76" s="16"/>
      <c r="X76" s="17"/>
    </row>
    <row r="77" spans="1:24" x14ac:dyDescent="0.3">
      <c r="A77" s="287">
        <v>20</v>
      </c>
      <c r="B77" s="288">
        <v>2.7E-2</v>
      </c>
      <c r="S77" s="16"/>
      <c r="X77" s="17"/>
    </row>
    <row r="78" spans="1:24" x14ac:dyDescent="0.3">
      <c r="A78" s="287">
        <v>25</v>
      </c>
      <c r="B78" s="288">
        <v>3.4000000000000002E-2</v>
      </c>
      <c r="S78" s="16"/>
      <c r="X78" s="17"/>
    </row>
    <row r="79" spans="1:24" x14ac:dyDescent="0.3">
      <c r="A79" s="287">
        <v>32</v>
      </c>
      <c r="B79" s="288">
        <v>4.2999999999999997E-2</v>
      </c>
      <c r="S79" s="16"/>
      <c r="X79" s="17"/>
    </row>
    <row r="80" spans="1:24" x14ac:dyDescent="0.3">
      <c r="A80" s="287">
        <v>40</v>
      </c>
      <c r="B80" s="288">
        <v>4.9000000000000002E-2</v>
      </c>
      <c r="S80" s="16"/>
      <c r="X80" s="17"/>
    </row>
    <row r="81" spans="1:24" x14ac:dyDescent="0.3">
      <c r="A81" s="287">
        <v>50</v>
      </c>
      <c r="B81" s="288">
        <v>6.0999999999999999E-2</v>
      </c>
      <c r="S81" s="16"/>
      <c r="X81" s="17"/>
    </row>
    <row r="82" spans="1:24" x14ac:dyDescent="0.3">
      <c r="A82" s="287">
        <v>60</v>
      </c>
      <c r="B82" s="288">
        <v>7.1999999999999995E-2</v>
      </c>
      <c r="S82" s="16"/>
      <c r="X82" s="17"/>
    </row>
    <row r="83" spans="1:24" x14ac:dyDescent="0.3">
      <c r="A83" s="287">
        <v>65</v>
      </c>
      <c r="B83" s="288">
        <v>7.6999999999999999E-2</v>
      </c>
      <c r="S83" s="16"/>
      <c r="X83" s="17"/>
    </row>
    <row r="84" spans="1:24" x14ac:dyDescent="0.3">
      <c r="A84" s="287">
        <v>80</v>
      </c>
      <c r="B84" s="288">
        <v>8.8999999999999996E-2</v>
      </c>
      <c r="S84" s="16"/>
      <c r="X84" s="17"/>
    </row>
    <row r="85" spans="1:24" x14ac:dyDescent="0.3">
      <c r="A85" s="287">
        <v>100</v>
      </c>
      <c r="B85" s="288">
        <v>0.115</v>
      </c>
      <c r="S85" s="16"/>
      <c r="X85" s="17"/>
    </row>
    <row r="86" spans="1:24" x14ac:dyDescent="0.3">
      <c r="A86" s="287">
        <v>125</v>
      </c>
      <c r="B86" s="288">
        <v>0.14099999999999999</v>
      </c>
      <c r="S86" s="16"/>
      <c r="X86" s="17"/>
    </row>
    <row r="87" spans="1:24" x14ac:dyDescent="0.3">
      <c r="A87" s="287">
        <v>150</v>
      </c>
      <c r="B87" s="288">
        <v>0.16900000000000001</v>
      </c>
      <c r="S87" s="16"/>
      <c r="X87" s="17"/>
    </row>
    <row r="88" spans="1:24" x14ac:dyDescent="0.3">
      <c r="A88" s="287">
        <v>200</v>
      </c>
      <c r="B88" s="288">
        <v>0.22</v>
      </c>
      <c r="S88" s="16"/>
      <c r="X88" s="17"/>
    </row>
    <row r="89" spans="1:24" x14ac:dyDescent="0.3">
      <c r="A89" s="287">
        <v>250</v>
      </c>
      <c r="B89" s="288">
        <v>0.27300000000000002</v>
      </c>
      <c r="S89" s="16"/>
      <c r="X89" s="17"/>
    </row>
    <row r="90" spans="1:24" x14ac:dyDescent="0.3">
      <c r="A90" s="287">
        <v>300</v>
      </c>
      <c r="B90" s="288">
        <v>0.32400000000000001</v>
      </c>
      <c r="S90" s="16"/>
      <c r="X90" s="17"/>
    </row>
    <row r="91" spans="1:24" x14ac:dyDescent="0.3">
      <c r="A91" s="287">
        <v>350</v>
      </c>
      <c r="B91" s="288">
        <v>0.35599999999999998</v>
      </c>
      <c r="S91" s="16"/>
      <c r="X91" s="17"/>
    </row>
    <row r="92" spans="1:24" x14ac:dyDescent="0.3">
      <c r="A92" s="287">
        <v>400</v>
      </c>
      <c r="B92" s="288">
        <v>0.40699999999999997</v>
      </c>
      <c r="S92" s="16"/>
      <c r="X92" s="17"/>
    </row>
    <row r="93" spans="1:24" x14ac:dyDescent="0.3">
      <c r="A93" s="287">
        <v>450</v>
      </c>
      <c r="B93" s="288">
        <v>0.45800000000000002</v>
      </c>
      <c r="S93" s="16"/>
      <c r="X93" s="17"/>
    </row>
    <row r="94" spans="1:24" x14ac:dyDescent="0.3">
      <c r="A94" s="287">
        <v>500</v>
      </c>
      <c r="B94" s="288">
        <v>0.50800000000000001</v>
      </c>
      <c r="S94" s="16"/>
      <c r="X94" s="17"/>
    </row>
    <row r="95" spans="1:24" x14ac:dyDescent="0.3">
      <c r="A95" s="287">
        <v>600</v>
      </c>
      <c r="B95" s="288">
        <v>0.61</v>
      </c>
      <c r="S95" s="16"/>
      <c r="X95" s="17"/>
    </row>
    <row r="96" spans="1:24" x14ac:dyDescent="0.3">
      <c r="A96" s="287">
        <v>700</v>
      </c>
      <c r="B96" s="288">
        <v>0.71199999999999997</v>
      </c>
      <c r="S96" s="16"/>
      <c r="X96" s="17"/>
    </row>
    <row r="97" spans="1:24" x14ac:dyDescent="0.3">
      <c r="A97" s="287">
        <v>800</v>
      </c>
      <c r="B97" s="288">
        <v>0.81299999999999994</v>
      </c>
      <c r="S97" s="16"/>
      <c r="X97" s="17"/>
    </row>
    <row r="98" spans="1:24" x14ac:dyDescent="0.3">
      <c r="A98" s="287">
        <v>900</v>
      </c>
      <c r="B98" s="288">
        <v>0.91500000000000004</v>
      </c>
      <c r="S98" s="16"/>
      <c r="X98" s="17"/>
    </row>
    <row r="99" spans="1:24" x14ac:dyDescent="0.3">
      <c r="A99" s="287">
        <v>1000</v>
      </c>
      <c r="B99" s="288">
        <v>1.016</v>
      </c>
      <c r="S99" s="16"/>
      <c r="X99" s="17"/>
    </row>
    <row r="100" spans="1:24" x14ac:dyDescent="0.3">
      <c r="A100" s="287">
        <v>1100</v>
      </c>
      <c r="B100" s="288">
        <v>1.1200000000000001</v>
      </c>
      <c r="S100" s="16"/>
      <c r="X100" s="17"/>
    </row>
    <row r="101" spans="1:24" x14ac:dyDescent="0.3">
      <c r="A101" s="287">
        <v>1200</v>
      </c>
      <c r="B101" s="288">
        <v>1.22</v>
      </c>
      <c r="S101" s="16"/>
      <c r="X101" s="17"/>
    </row>
    <row r="102" spans="1:24" x14ac:dyDescent="0.3">
      <c r="A102" s="287">
        <v>1400</v>
      </c>
      <c r="B102" s="288">
        <v>1.42</v>
      </c>
      <c r="S102" s="16"/>
      <c r="X102" s="17"/>
    </row>
    <row r="103" spans="1:24" x14ac:dyDescent="0.3">
      <c r="A103" s="287">
        <v>1500</v>
      </c>
      <c r="B103" s="288">
        <v>1.52</v>
      </c>
      <c r="S103" s="16"/>
      <c r="X103" s="17"/>
    </row>
    <row r="104" spans="1:24" x14ac:dyDescent="0.3">
      <c r="A104" s="287">
        <v>1600</v>
      </c>
      <c r="B104" s="288">
        <v>1.62</v>
      </c>
      <c r="S104" s="16"/>
      <c r="X104" s="17"/>
    </row>
    <row r="105" spans="1:24" x14ac:dyDescent="0.3">
      <c r="A105" s="287">
        <v>1800</v>
      </c>
      <c r="B105" s="288">
        <v>1.82</v>
      </c>
      <c r="S105" s="16"/>
      <c r="X105" s="17"/>
    </row>
    <row r="106" spans="1:24" x14ac:dyDescent="0.3">
      <c r="A106" s="287">
        <v>2000</v>
      </c>
      <c r="B106" s="288">
        <v>2.02</v>
      </c>
      <c r="S106" s="16"/>
      <c r="X106" s="17"/>
    </row>
    <row r="107" spans="1:24" x14ac:dyDescent="0.3">
      <c r="A107" s="287">
        <v>2000</v>
      </c>
      <c r="B107" s="288">
        <v>2.02</v>
      </c>
      <c r="S107" s="16"/>
      <c r="X107" s="17"/>
    </row>
    <row r="108" spans="1:24" x14ac:dyDescent="0.3">
      <c r="A108" s="287">
        <v>2200</v>
      </c>
      <c r="B108" s="288">
        <v>2.2200000000000002</v>
      </c>
      <c r="S108" s="16"/>
      <c r="X108" s="17"/>
    </row>
    <row r="109" spans="1:24" x14ac:dyDescent="0.3">
      <c r="A109" s="287">
        <v>2400</v>
      </c>
      <c r="B109" s="288">
        <v>2.42</v>
      </c>
      <c r="S109" s="16"/>
      <c r="X109" s="17"/>
    </row>
    <row r="110" spans="1:24" x14ac:dyDescent="0.3">
      <c r="A110" s="287">
        <v>2600</v>
      </c>
      <c r="B110" s="288">
        <v>2.62</v>
      </c>
      <c r="S110" s="16"/>
      <c r="X110" s="17"/>
    </row>
    <row r="111" spans="1:24" x14ac:dyDescent="0.3">
      <c r="A111" s="287">
        <v>2800</v>
      </c>
      <c r="B111" s="288">
        <v>2.82</v>
      </c>
      <c r="S111" s="16"/>
      <c r="X111" s="17"/>
    </row>
    <row r="112" spans="1:24" x14ac:dyDescent="0.3">
      <c r="A112" s="287">
        <v>3000</v>
      </c>
      <c r="B112" s="288">
        <v>3.02</v>
      </c>
      <c r="S112" s="16"/>
      <c r="X112" s="17"/>
    </row>
    <row r="113" spans="1:24" x14ac:dyDescent="0.3">
      <c r="A113" s="287">
        <v>3200</v>
      </c>
      <c r="B113" s="288">
        <v>3.22</v>
      </c>
      <c r="S113" s="16"/>
      <c r="X113" s="17"/>
    </row>
    <row r="114" spans="1:24" x14ac:dyDescent="0.3">
      <c r="A114" s="287">
        <v>3400</v>
      </c>
      <c r="B114" s="288">
        <v>3.42</v>
      </c>
      <c r="S114" s="16"/>
      <c r="X114" s="17"/>
    </row>
    <row r="117" spans="1:24" ht="72.599999999999994" thickBot="1" x14ac:dyDescent="0.35">
      <c r="A117" s="893" t="s">
        <v>5</v>
      </c>
      <c r="B117" s="894"/>
      <c r="C117" s="577" t="s">
        <v>169</v>
      </c>
      <c r="D117" s="577" t="s">
        <v>112</v>
      </c>
      <c r="E117" s="577" t="s">
        <v>113</v>
      </c>
      <c r="F117" s="88"/>
      <c r="G117" s="88" t="s">
        <v>318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9" t="s">
        <v>14</v>
      </c>
      <c r="M117" s="118" t="s">
        <v>116</v>
      </c>
      <c r="N117" s="89" t="s">
        <v>114</v>
      </c>
      <c r="O117" s="89" t="s">
        <v>115</v>
      </c>
      <c r="P117" s="89" t="s">
        <v>27</v>
      </c>
      <c r="Q117" s="119" t="s">
        <v>117</v>
      </c>
      <c r="R117" s="84" t="s">
        <v>185</v>
      </c>
      <c r="S117" s="86" t="s">
        <v>94</v>
      </c>
      <c r="T117" s="86" t="s">
        <v>95</v>
      </c>
      <c r="U117" s="966" t="s">
        <v>70</v>
      </c>
      <c r="V117" s="966"/>
    </row>
    <row r="118" spans="1:24" ht="18.600000000000001" thickBot="1" x14ac:dyDescent="0.35">
      <c r="A118" s="956"/>
      <c r="B118" s="957"/>
      <c r="C118" s="573"/>
      <c r="D118" s="595" t="s">
        <v>419</v>
      </c>
      <c r="E118" s="233"/>
      <c r="F118" s="573"/>
      <c r="G118" s="232"/>
      <c r="H118" s="232"/>
      <c r="I118" s="236"/>
      <c r="J118" s="232"/>
      <c r="K118" s="236"/>
      <c r="L118" s="593">
        <v>1</v>
      </c>
      <c r="M118" s="594">
        <v>32</v>
      </c>
      <c r="N118" s="593">
        <v>33</v>
      </c>
      <c r="O118" s="593">
        <v>34</v>
      </c>
      <c r="P118" s="593">
        <f>IF(M118&lt;10,N118+L118,O118+L118)</f>
        <v>35</v>
      </c>
      <c r="Q118" s="593">
        <v>42</v>
      </c>
      <c r="R118" s="593">
        <v>43</v>
      </c>
      <c r="S118" s="596">
        <v>44</v>
      </c>
      <c r="T118" s="596">
        <v>6</v>
      </c>
      <c r="U118" s="127" t="s">
        <v>71</v>
      </c>
      <c r="V118" s="127" t="s">
        <v>24</v>
      </c>
    </row>
    <row r="119" spans="1:24" ht="15" thickBot="1" x14ac:dyDescent="0.35">
      <c r="A119" s="956" t="s">
        <v>323</v>
      </c>
      <c r="B119" s="957"/>
      <c r="C119" s="573"/>
      <c r="D119" s="599">
        <v>36</v>
      </c>
      <c r="E119" s="233"/>
      <c r="F119" s="573"/>
      <c r="G119" s="235"/>
      <c r="H119" s="232"/>
      <c r="I119" s="236"/>
      <c r="J119" s="232"/>
      <c r="K119" s="236"/>
      <c r="L119" s="593">
        <v>1</v>
      </c>
      <c r="M119" s="594">
        <v>32</v>
      </c>
      <c r="N119" s="593">
        <v>33</v>
      </c>
      <c r="O119" s="593">
        <v>34</v>
      </c>
      <c r="P119" s="593">
        <f>IF(M119&lt;10,N119+L119,O119+L119)</f>
        <v>35</v>
      </c>
      <c r="Q119" s="593">
        <v>42</v>
      </c>
      <c r="R119" s="593">
        <v>45</v>
      </c>
      <c r="S119" s="238">
        <v>44</v>
      </c>
      <c r="T119" s="238">
        <v>6</v>
      </c>
      <c r="U119" s="590">
        <v>26</v>
      </c>
      <c r="V119" s="590">
        <v>28</v>
      </c>
    </row>
    <row r="120" spans="1:24" x14ac:dyDescent="0.3">
      <c r="A120" s="956" t="s">
        <v>324</v>
      </c>
      <c r="B120" s="957"/>
      <c r="C120" s="573"/>
      <c r="D120" s="599">
        <v>37</v>
      </c>
      <c r="E120" s="233"/>
      <c r="F120" s="573"/>
      <c r="G120" s="235"/>
      <c r="H120" s="232"/>
      <c r="I120" s="236"/>
      <c r="J120" s="232"/>
      <c r="K120" s="236"/>
      <c r="L120" s="593">
        <v>1</v>
      </c>
      <c r="M120" s="594">
        <v>32</v>
      </c>
      <c r="N120" s="593">
        <v>33</v>
      </c>
      <c r="O120" s="593">
        <v>34</v>
      </c>
      <c r="P120" s="593">
        <f>IF(M120&lt;10,N120+L120,O120+L120)</f>
        <v>35</v>
      </c>
      <c r="Q120" s="593">
        <v>42</v>
      </c>
      <c r="R120" s="593">
        <v>46</v>
      </c>
      <c r="S120" s="238">
        <v>44</v>
      </c>
      <c r="T120" s="238">
        <v>6</v>
      </c>
      <c r="U120" s="590">
        <v>27</v>
      </c>
      <c r="V120" s="590">
        <v>29</v>
      </c>
    </row>
    <row r="121" spans="1:24" ht="28.8" x14ac:dyDescent="0.3">
      <c r="A121" s="62"/>
      <c r="B121" s="62"/>
      <c r="C121" s="62"/>
      <c r="D121" s="62"/>
      <c r="E121" s="63" t="s">
        <v>321</v>
      </c>
      <c r="F121" s="63" t="s">
        <v>322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959"/>
      <c r="Q121" s="959"/>
      <c r="R121" s="572" t="s">
        <v>225</v>
      </c>
      <c r="S121" s="570"/>
      <c r="T121" s="570"/>
    </row>
    <row r="122" spans="1:24" ht="18" x14ac:dyDescent="0.3">
      <c r="A122" s="68"/>
      <c r="B122" s="62"/>
      <c r="C122" s="887" t="s">
        <v>61</v>
      </c>
      <c r="D122" s="888"/>
      <c r="E122" s="588">
        <v>7</v>
      </c>
      <c r="F122" s="588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76"/>
      <c r="Q122" s="576"/>
      <c r="R122" s="570"/>
      <c r="S122" s="570"/>
      <c r="T122" s="570"/>
    </row>
    <row r="123" spans="1:24" ht="16.2" customHeight="1" x14ac:dyDescent="0.3">
      <c r="A123" s="62"/>
      <c r="B123" s="62"/>
      <c r="C123" s="887" t="s">
        <v>411</v>
      </c>
      <c r="D123" s="888"/>
      <c r="E123" s="588">
        <v>9</v>
      </c>
      <c r="F123" s="588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70"/>
      <c r="S123" s="570"/>
      <c r="T123" s="570"/>
    </row>
    <row r="124" spans="1:24" ht="16.2" customHeight="1" thickBot="1" x14ac:dyDescent="0.35">
      <c r="A124" s="62"/>
      <c r="B124" s="62"/>
      <c r="C124" s="889" t="s">
        <v>410</v>
      </c>
      <c r="D124" s="890"/>
      <c r="E124" s="588">
        <v>11</v>
      </c>
      <c r="F124" s="588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70"/>
      <c r="S124" s="570"/>
      <c r="T124" s="570"/>
    </row>
    <row r="125" spans="1:24" ht="16.2" thickBot="1" x14ac:dyDescent="0.35">
      <c r="A125" s="62"/>
      <c r="B125" s="62"/>
      <c r="C125" s="891" t="s">
        <v>412</v>
      </c>
      <c r="D125" s="892"/>
      <c r="E125" s="588">
        <v>13</v>
      </c>
      <c r="F125" s="588">
        <v>14</v>
      </c>
      <c r="G125" s="149" t="s">
        <v>56</v>
      </c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70"/>
      <c r="S125" s="570"/>
      <c r="T125" s="570"/>
    </row>
    <row r="126" spans="1:24" ht="16.2" thickBot="1" x14ac:dyDescent="0.35">
      <c r="A126" s="62"/>
      <c r="B126" s="62"/>
      <c r="C126" s="976" t="s">
        <v>415</v>
      </c>
      <c r="D126" s="977" t="s">
        <v>172</v>
      </c>
      <c r="E126" s="588">
        <v>36</v>
      </c>
      <c r="F126" s="588">
        <v>37</v>
      </c>
      <c r="G126" s="230" t="s">
        <v>56</v>
      </c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70"/>
      <c r="S126" s="570"/>
      <c r="T126" s="570"/>
    </row>
    <row r="127" spans="1:24" ht="16.2" thickBot="1" x14ac:dyDescent="0.35">
      <c r="A127" s="62"/>
      <c r="B127" s="62"/>
      <c r="C127" s="976" t="s">
        <v>173</v>
      </c>
      <c r="D127" s="977"/>
      <c r="E127" s="588">
        <v>38</v>
      </c>
      <c r="F127" s="588">
        <v>39</v>
      </c>
      <c r="G127" s="63"/>
      <c r="H127" s="63"/>
      <c r="I127" s="63"/>
      <c r="J127" s="64"/>
      <c r="K127" s="65"/>
      <c r="L127" s="64"/>
      <c r="M127" s="66"/>
      <c r="N127" s="129"/>
      <c r="O127" s="967">
        <v>30</v>
      </c>
      <c r="P127" s="968"/>
      <c r="Q127" s="968"/>
      <c r="R127" s="968"/>
      <c r="S127" s="968"/>
      <c r="T127" s="969"/>
    </row>
    <row r="128" spans="1:24" ht="16.2" thickBot="1" x14ac:dyDescent="0.35">
      <c r="A128" s="62"/>
      <c r="B128" s="62"/>
      <c r="C128" s="976" t="s">
        <v>149</v>
      </c>
      <c r="D128" s="977"/>
      <c r="E128" s="588">
        <v>41</v>
      </c>
      <c r="F128" s="588"/>
      <c r="G128" s="17" t="s">
        <v>183</v>
      </c>
      <c r="H128" s="63"/>
      <c r="I128" s="63"/>
      <c r="J128" s="64"/>
      <c r="K128" s="65"/>
      <c r="L128" s="64"/>
      <c r="M128" s="66"/>
      <c r="N128" s="129"/>
      <c r="O128" s="970"/>
      <c r="P128" s="971"/>
      <c r="Q128" s="971"/>
      <c r="R128" s="971"/>
      <c r="S128" s="971"/>
      <c r="T128" s="972"/>
    </row>
    <row r="129" spans="1:20" ht="16.2" thickBot="1" x14ac:dyDescent="0.35">
      <c r="A129" s="62"/>
      <c r="B129" s="62"/>
      <c r="C129" s="978" t="s">
        <v>414</v>
      </c>
      <c r="D129" s="979"/>
      <c r="E129" s="588">
        <v>40</v>
      </c>
      <c r="F129" s="588"/>
      <c r="G129" s="63"/>
      <c r="H129" s="63"/>
      <c r="I129" s="63"/>
      <c r="J129" s="64"/>
      <c r="K129" s="65"/>
      <c r="L129" s="64"/>
      <c r="M129" s="66"/>
      <c r="N129" s="129"/>
      <c r="O129" s="973"/>
      <c r="P129" s="974"/>
      <c r="Q129" s="974"/>
      <c r="R129" s="974"/>
      <c r="S129" s="974"/>
      <c r="T129" s="975"/>
    </row>
  </sheetData>
  <mergeCells count="76">
    <mergeCell ref="C127:D127"/>
    <mergeCell ref="O127:T129"/>
    <mergeCell ref="C128:D128"/>
    <mergeCell ref="C129:D129"/>
    <mergeCell ref="U117:V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6:B46"/>
    <mergeCell ref="U44:V44"/>
    <mergeCell ref="O54:T56"/>
    <mergeCell ref="C52:D52"/>
    <mergeCell ref="C53:D53"/>
    <mergeCell ref="C54:D54"/>
    <mergeCell ref="C55:D55"/>
    <mergeCell ref="C56:D56"/>
    <mergeCell ref="C49:D49"/>
    <mergeCell ref="C50:D50"/>
    <mergeCell ref="C51:D51"/>
    <mergeCell ref="I13:J14"/>
    <mergeCell ref="Q16:R17"/>
    <mergeCell ref="C17:E18"/>
    <mergeCell ref="F17:G18"/>
    <mergeCell ref="M18:N21"/>
    <mergeCell ref="Q18:R19"/>
    <mergeCell ref="Q20:R21"/>
    <mergeCell ref="K13:K14"/>
    <mergeCell ref="C13:C14"/>
    <mergeCell ref="D13:E14"/>
    <mergeCell ref="F13:F14"/>
    <mergeCell ref="G13:H14"/>
    <mergeCell ref="C5:E6"/>
    <mergeCell ref="K5:M6"/>
    <mergeCell ref="N5:O6"/>
    <mergeCell ref="K8:M9"/>
    <mergeCell ref="N8:O9"/>
    <mergeCell ref="O67:T67"/>
    <mergeCell ref="A44:B44"/>
    <mergeCell ref="A45:B45"/>
    <mergeCell ref="P8:P9"/>
    <mergeCell ref="M14:N17"/>
    <mergeCell ref="O14:P15"/>
    <mergeCell ref="M25:P27"/>
    <mergeCell ref="C21:E22"/>
    <mergeCell ref="F21:G22"/>
    <mergeCell ref="H21:H22"/>
    <mergeCell ref="C25:E26"/>
    <mergeCell ref="F25:G26"/>
    <mergeCell ref="H25:H26"/>
    <mergeCell ref="P48:Q48"/>
    <mergeCell ref="Q14:R15"/>
    <mergeCell ref="O16:P17"/>
    <mergeCell ref="A58:T58"/>
    <mergeCell ref="A59:C59"/>
    <mergeCell ref="A60:C60"/>
    <mergeCell ref="B61:C61"/>
    <mergeCell ref="E61:G61"/>
    <mergeCell ref="O71:Q71"/>
    <mergeCell ref="O72:Q72"/>
    <mergeCell ref="A71:C71"/>
    <mergeCell ref="O68:Q68"/>
    <mergeCell ref="O69:Q69"/>
    <mergeCell ref="A70:C70"/>
    <mergeCell ref="O70:Q70"/>
  </mergeCells>
  <conditionalFormatting sqref="F25:G26">
    <cfRule type="cellIs" dxfId="9" priority="1" operator="greaterThan">
      <formula>55</formula>
    </cfRule>
  </conditionalFormatting>
  <dataValidations count="1">
    <dataValidation type="list" allowBlank="1" showInputMessage="1" showErrorMessage="1" promptTitle="Select a value " sqref="F17" xr:uid="{6E934F46-BB5E-479E-B474-D4545A7EDD3F}">
      <formula1>emissivity</formula1>
    </dataValidation>
  </dataValidations>
  <pageMargins left="0.7" right="0.7" top="0.75" bottom="0.75" header="0.3" footer="0.3"/>
  <pageSetup paperSize="9" orientation="portrait" horizontalDpi="0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6C59AA7-38FA-4670-9324-A20ACA52487C}">
          <x14:formula1>
            <xm:f>'Default values '!$C$2:$C$10</xm:f>
          </x14:formula1>
          <xm:sqref>N5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A40C8-E0FF-4AA6-A063-4F3034EFB505}">
  <dimension ref="A1:AD129"/>
  <sheetViews>
    <sheetView topLeftCell="A49" workbookViewId="0">
      <selection activeCell="L67" sqref="L67"/>
    </sheetView>
  </sheetViews>
  <sheetFormatPr defaultRowHeight="14.4" x14ac:dyDescent="0.3"/>
  <cols>
    <col min="1" max="2" width="5.21875" style="17" customWidth="1"/>
    <col min="3" max="3" width="15.10937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8.3320312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2.3320312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292"/>
      <c r="B1" s="292"/>
      <c r="C1" s="292"/>
      <c r="D1" s="292"/>
      <c r="E1" s="292"/>
      <c r="F1" s="292"/>
      <c r="G1" s="292"/>
      <c r="H1" s="292"/>
      <c r="I1" s="292"/>
      <c r="J1" s="292"/>
      <c r="K1" s="292"/>
      <c r="L1" s="292"/>
      <c r="M1" s="292"/>
      <c r="N1" s="292"/>
      <c r="O1" s="292"/>
      <c r="P1" s="292"/>
      <c r="Q1" s="292"/>
      <c r="R1" s="292"/>
      <c r="S1" s="292"/>
    </row>
    <row r="2" spans="1:24" ht="15" customHeight="1" x14ac:dyDescent="0.3">
      <c r="A2" s="292"/>
      <c r="B2" s="15"/>
      <c r="C2" s="15"/>
      <c r="D2" s="15"/>
      <c r="E2" s="15"/>
      <c r="F2" s="15"/>
      <c r="G2" s="292"/>
      <c r="H2" s="292"/>
      <c r="I2" s="292"/>
      <c r="J2" s="292"/>
      <c r="K2" s="292"/>
      <c r="L2" s="292"/>
      <c r="M2" s="292"/>
      <c r="N2" s="292"/>
      <c r="O2" s="292"/>
      <c r="P2" s="292"/>
      <c r="Q2" s="292"/>
      <c r="R2" s="292"/>
      <c r="S2" s="292"/>
      <c r="U2" s="164"/>
    </row>
    <row r="3" spans="1:24" ht="3.6" customHeight="1" x14ac:dyDescent="0.3">
      <c r="A3" s="29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92"/>
      <c r="U3" s="164"/>
    </row>
    <row r="4" spans="1:24" ht="5.4" customHeight="1" x14ac:dyDescent="0.3">
      <c r="A4" s="292"/>
      <c r="B4" s="292"/>
      <c r="C4" s="292"/>
      <c r="D4" s="292"/>
      <c r="E4" s="292"/>
      <c r="F4" s="292"/>
      <c r="G4" s="339"/>
      <c r="H4" s="339"/>
      <c r="I4" s="339"/>
      <c r="J4" s="339"/>
      <c r="K4" s="292"/>
      <c r="L4" s="292"/>
      <c r="M4" s="292"/>
      <c r="N4" s="292"/>
      <c r="O4" s="292"/>
      <c r="P4" s="292"/>
      <c r="Q4" s="292"/>
      <c r="R4" s="292"/>
      <c r="S4" s="292"/>
      <c r="T4" s="24"/>
      <c r="U4" s="164"/>
    </row>
    <row r="5" spans="1:24" s="23" customFormat="1" ht="15" customHeight="1" x14ac:dyDescent="0.3">
      <c r="A5" s="26"/>
      <c r="B5" s="28"/>
      <c r="C5" s="864" t="s">
        <v>16</v>
      </c>
      <c r="D5" s="864"/>
      <c r="E5" s="864"/>
      <c r="F5" s="32" t="s">
        <v>40</v>
      </c>
      <c r="G5" s="985" t="s">
        <v>358</v>
      </c>
      <c r="H5" s="985"/>
      <c r="I5" s="985"/>
      <c r="J5" s="985"/>
      <c r="K5" s="866" t="s">
        <v>15</v>
      </c>
      <c r="L5" s="866"/>
      <c r="M5" s="866"/>
      <c r="N5" s="984" t="s">
        <v>34</v>
      </c>
      <c r="O5" s="984"/>
      <c r="P5" s="32">
        <f>VLOOKUP(N5,'Default values '!C2:D10,2,TRUE)</f>
        <v>8760</v>
      </c>
      <c r="Q5" s="28"/>
      <c r="R5" s="28"/>
      <c r="S5" s="28"/>
      <c r="T5" s="25"/>
      <c r="U5" s="392"/>
      <c r="V5" s="22"/>
      <c r="W5" s="22"/>
      <c r="X5" s="22"/>
    </row>
    <row r="6" spans="1:24" ht="15" customHeight="1" x14ac:dyDescent="0.35">
      <c r="A6" s="292"/>
      <c r="B6" s="14"/>
      <c r="C6" s="864"/>
      <c r="D6" s="864"/>
      <c r="E6" s="864"/>
      <c r="F6" s="32"/>
      <c r="G6" s="985"/>
      <c r="H6" s="985"/>
      <c r="I6" s="985"/>
      <c r="J6" s="985"/>
      <c r="K6" s="866"/>
      <c r="L6" s="866"/>
      <c r="M6" s="866"/>
      <c r="N6" s="984"/>
      <c r="O6" s="984"/>
      <c r="P6" s="14"/>
      <c r="Q6" s="14"/>
      <c r="R6" s="14"/>
      <c r="S6" s="14"/>
    </row>
    <row r="7" spans="1:24" ht="15" customHeight="1" x14ac:dyDescent="0.35">
      <c r="A7" s="292"/>
      <c r="B7" s="14"/>
      <c r="C7" s="293"/>
      <c r="D7" s="293"/>
      <c r="E7" s="293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5">
      <c r="A8" s="292"/>
      <c r="B8" s="14"/>
      <c r="C8" s="293"/>
      <c r="D8" s="293"/>
      <c r="E8" s="293"/>
      <c r="F8" s="47"/>
      <c r="G8" s="285"/>
      <c r="H8" s="285"/>
      <c r="I8" s="285"/>
      <c r="J8" s="285"/>
      <c r="K8" s="866"/>
      <c r="L8" s="866"/>
      <c r="M8" s="866"/>
      <c r="N8" s="868"/>
      <c r="O8" s="868"/>
      <c r="P8" s="869"/>
      <c r="Q8" s="14"/>
      <c r="R8" s="14"/>
      <c r="S8" s="14"/>
      <c r="U8" s="16" t="s">
        <v>271</v>
      </c>
    </row>
    <row r="9" spans="1:24" s="23" customFormat="1" ht="15" customHeight="1" x14ac:dyDescent="0.35">
      <c r="A9" s="292"/>
      <c r="B9" s="14"/>
      <c r="C9" s="293"/>
      <c r="D9" s="293"/>
      <c r="E9" s="293"/>
      <c r="F9" s="47"/>
      <c r="G9" s="285"/>
      <c r="H9" s="285"/>
      <c r="I9" s="285"/>
      <c r="J9" s="285"/>
      <c r="K9" s="866"/>
      <c r="L9" s="866"/>
      <c r="M9" s="866"/>
      <c r="N9" s="868"/>
      <c r="O9" s="868"/>
      <c r="P9" s="869"/>
      <c r="Q9" s="26"/>
      <c r="R9" s="26"/>
      <c r="S9" s="26"/>
      <c r="T9" s="22"/>
      <c r="U9" s="16" t="s">
        <v>254</v>
      </c>
      <c r="V9" s="16"/>
      <c r="W9" s="16"/>
      <c r="X9" s="16"/>
    </row>
    <row r="10" spans="1:24" ht="15" customHeight="1" x14ac:dyDescent="0.35">
      <c r="A10" s="292"/>
      <c r="B10" s="14"/>
      <c r="C10" s="293"/>
      <c r="D10" s="293"/>
      <c r="E10" s="293"/>
      <c r="F10" s="47"/>
      <c r="G10" s="47"/>
      <c r="H10" s="47"/>
      <c r="I10" s="292"/>
      <c r="J10" s="292"/>
      <c r="K10" s="292"/>
      <c r="L10" s="292"/>
      <c r="M10" s="292"/>
      <c r="N10" s="292"/>
      <c r="O10" s="292"/>
      <c r="P10" s="292"/>
      <c r="Q10" s="292"/>
      <c r="R10" s="292"/>
      <c r="S10" s="292"/>
      <c r="U10" s="16" t="s">
        <v>255</v>
      </c>
    </row>
    <row r="11" spans="1:24" ht="15" customHeight="1" thickBot="1" x14ac:dyDescent="0.4">
      <c r="A11" s="292"/>
      <c r="B11" s="14"/>
      <c r="C11" s="14"/>
      <c r="D11" s="14"/>
      <c r="E11" s="14"/>
      <c r="F11" s="14"/>
      <c r="G11" s="14"/>
      <c r="H11" s="14"/>
      <c r="I11" s="292"/>
      <c r="J11" s="292"/>
      <c r="K11" s="292"/>
      <c r="L11" s="292"/>
      <c r="M11" s="292"/>
      <c r="N11" s="292"/>
      <c r="O11" s="292"/>
      <c r="P11" s="292"/>
      <c r="Q11" s="292"/>
      <c r="R11" s="292"/>
      <c r="S11" s="292"/>
      <c r="U11" s="22"/>
      <c r="V11" s="22"/>
      <c r="W11" s="22"/>
      <c r="X11" s="22"/>
    </row>
    <row r="12" spans="1:24" ht="15" customHeight="1" thickTop="1" x14ac:dyDescent="0.35">
      <c r="A12" s="292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292"/>
      <c r="M12" s="15"/>
      <c r="N12" s="15"/>
      <c r="O12" s="15"/>
      <c r="P12" s="15"/>
      <c r="Q12" s="15"/>
      <c r="R12" s="15"/>
      <c r="S12" s="292"/>
      <c r="U12" s="982" t="s">
        <v>256</v>
      </c>
      <c r="V12" s="983"/>
      <c r="W12" s="983"/>
      <c r="X12" s="983"/>
    </row>
    <row r="13" spans="1:24" s="23" customFormat="1" ht="15" customHeight="1" x14ac:dyDescent="0.3">
      <c r="A13" s="26"/>
      <c r="B13" s="31"/>
      <c r="C13" s="964" t="s">
        <v>449</v>
      </c>
      <c r="D13" s="965">
        <v>200</v>
      </c>
      <c r="E13" s="965"/>
      <c r="F13" s="869"/>
      <c r="G13" s="986" t="s">
        <v>451</v>
      </c>
      <c r="H13" s="986"/>
      <c r="I13" s="965">
        <v>6</v>
      </c>
      <c r="J13" s="987">
        <v>0.5</v>
      </c>
      <c r="K13" s="963"/>
      <c r="L13" s="26"/>
      <c r="M13" s="46"/>
      <c r="N13" s="46"/>
      <c r="O13" s="46"/>
      <c r="P13" s="46"/>
      <c r="Q13" s="46"/>
      <c r="R13" s="46"/>
      <c r="S13" s="26"/>
      <c r="T13" s="22"/>
      <c r="U13" s="983"/>
      <c r="V13" s="983"/>
      <c r="W13" s="983"/>
      <c r="X13" s="983"/>
    </row>
    <row r="14" spans="1:24" ht="15" customHeight="1" x14ac:dyDescent="0.3">
      <c r="A14" s="292"/>
      <c r="B14" s="8"/>
      <c r="C14" s="964"/>
      <c r="D14" s="965"/>
      <c r="E14" s="965"/>
      <c r="F14" s="869"/>
      <c r="G14" s="986"/>
      <c r="H14" s="986"/>
      <c r="I14" s="965"/>
      <c r="J14" s="987"/>
      <c r="K14" s="963"/>
      <c r="L14" s="26"/>
      <c r="M14" s="899" t="s">
        <v>175</v>
      </c>
      <c r="N14" s="899"/>
      <c r="O14" s="915">
        <f>IF(F25=0,"",T45)</f>
        <v>27663.339823436028</v>
      </c>
      <c r="P14" s="915"/>
      <c r="Q14" s="909" t="str">
        <f>IF(F25="","","kWh/a")</f>
        <v>kWh/a</v>
      </c>
      <c r="R14" s="909"/>
      <c r="S14" s="292"/>
      <c r="U14" s="983"/>
      <c r="V14" s="983"/>
      <c r="W14" s="983"/>
      <c r="X14" s="983"/>
    </row>
    <row r="15" spans="1:24" ht="15" customHeight="1" x14ac:dyDescent="0.3">
      <c r="A15" s="292"/>
      <c r="B15" s="8"/>
      <c r="C15" s="292"/>
      <c r="D15" s="292"/>
      <c r="E15" s="292"/>
      <c r="F15" s="33"/>
      <c r="G15" s="33"/>
      <c r="H15" s="292"/>
      <c r="I15" s="15"/>
      <c r="J15" s="15"/>
      <c r="K15" s="45"/>
      <c r="L15" s="15"/>
      <c r="M15" s="899"/>
      <c r="N15" s="899"/>
      <c r="O15" s="915"/>
      <c r="P15" s="915"/>
      <c r="Q15" s="909"/>
      <c r="R15" s="909"/>
      <c r="S15" s="292"/>
      <c r="U15" s="983"/>
      <c r="V15" s="983"/>
      <c r="W15" s="983"/>
      <c r="X15" s="983"/>
    </row>
    <row r="16" spans="1:24" ht="15" customHeight="1" x14ac:dyDescent="0.3">
      <c r="A16" s="292"/>
      <c r="B16" s="8"/>
      <c r="C16" s="292"/>
      <c r="D16" s="292"/>
      <c r="E16" s="292"/>
      <c r="F16" s="33"/>
      <c r="G16" s="33"/>
      <c r="H16" s="292"/>
      <c r="I16" s="27"/>
      <c r="J16" s="27"/>
      <c r="K16" s="45"/>
      <c r="L16" s="27"/>
      <c r="M16" s="899"/>
      <c r="N16" s="899"/>
      <c r="O16" s="910">
        <f>IF(F25=0,"",U45)</f>
        <v>1383.1669911718016</v>
      </c>
      <c r="P16" s="910"/>
      <c r="Q16" s="911" t="str">
        <f>IF(F25=0,"","€/a")</f>
        <v>€/a</v>
      </c>
      <c r="R16" s="911"/>
      <c r="S16" s="292"/>
      <c r="U16" s="983"/>
      <c r="V16" s="983"/>
      <c r="W16" s="983"/>
      <c r="X16" s="983"/>
    </row>
    <row r="17" spans="1:24" s="23" customFormat="1" ht="15" customHeight="1" x14ac:dyDescent="0.3">
      <c r="A17" s="26"/>
      <c r="B17" s="31"/>
      <c r="C17" s="869" t="s">
        <v>109</v>
      </c>
      <c r="D17" s="869"/>
      <c r="E17" s="869"/>
      <c r="F17" s="908" t="s">
        <v>378</v>
      </c>
      <c r="G17" s="908"/>
      <c r="H17" s="52">
        <f>IF(F17="","",VLOOKUP(F17,'Default values '!A2:B7,2,FALSE))</f>
        <v>0.8</v>
      </c>
      <c r="I17" s="27"/>
      <c r="J17" s="27"/>
      <c r="K17" s="51"/>
      <c r="L17" s="27"/>
      <c r="M17" s="899"/>
      <c r="N17" s="899"/>
      <c r="O17" s="910"/>
      <c r="P17" s="910"/>
      <c r="Q17" s="911"/>
      <c r="R17" s="911"/>
      <c r="S17" s="26"/>
      <c r="T17" s="22"/>
      <c r="U17" s="22"/>
      <c r="V17" s="22"/>
      <c r="W17" s="22"/>
      <c r="X17" s="22"/>
    </row>
    <row r="18" spans="1:24" ht="15" customHeight="1" x14ac:dyDescent="0.3">
      <c r="A18" s="292"/>
      <c r="B18" s="8"/>
      <c r="C18" s="869"/>
      <c r="D18" s="869"/>
      <c r="E18" s="869"/>
      <c r="F18" s="908"/>
      <c r="G18" s="908"/>
      <c r="H18" s="15"/>
      <c r="I18" s="292"/>
      <c r="J18" s="292"/>
      <c r="K18" s="9"/>
      <c r="L18" s="292"/>
      <c r="M18" s="912" t="s">
        <v>176</v>
      </c>
      <c r="N18" s="912"/>
      <c r="O18" s="988">
        <f>IF(F25=0,"",V46)</f>
        <v>23111.769013089779</v>
      </c>
      <c r="P18" s="988">
        <f>IF(F25=0,"",V47)</f>
        <v>26380.996790053694</v>
      </c>
      <c r="Q18" s="961" t="str">
        <f>IF(O18="","","kWh/a")</f>
        <v>kWh/a</v>
      </c>
      <c r="R18" s="961"/>
      <c r="S18" s="292"/>
    </row>
    <row r="19" spans="1:24" ht="15" customHeight="1" x14ac:dyDescent="0.3">
      <c r="A19" s="292"/>
      <c r="B19" s="8"/>
      <c r="C19" s="15"/>
      <c r="D19" s="15"/>
      <c r="E19" s="15"/>
      <c r="F19" s="33"/>
      <c r="G19" s="33"/>
      <c r="H19" s="15"/>
      <c r="I19" s="292"/>
      <c r="J19" s="292"/>
      <c r="K19" s="9"/>
      <c r="L19" s="292"/>
      <c r="M19" s="912"/>
      <c r="N19" s="912"/>
      <c r="O19" s="988"/>
      <c r="P19" s="988"/>
      <c r="Q19" s="961"/>
      <c r="R19" s="961"/>
      <c r="S19" s="292"/>
    </row>
    <row r="20" spans="1:24" ht="15" customHeight="1" x14ac:dyDescent="0.3">
      <c r="A20" s="292"/>
      <c r="B20" s="8"/>
      <c r="C20" s="292"/>
      <c r="D20" s="292"/>
      <c r="E20" s="292"/>
      <c r="F20" s="33"/>
      <c r="G20" s="33"/>
      <c r="H20" s="292"/>
      <c r="I20" s="292"/>
      <c r="J20" s="292"/>
      <c r="K20" s="9"/>
      <c r="L20" s="292"/>
      <c r="M20" s="912"/>
      <c r="N20" s="912"/>
      <c r="O20" s="989">
        <f>IF(F25=0,"",W46)</f>
        <v>1155.588450654489</v>
      </c>
      <c r="P20" s="989">
        <f>IF(F25=0,"",W47)</f>
        <v>1319.0498395026848</v>
      </c>
      <c r="Q20" s="962" t="str">
        <f>IF(F25=0,"","€/a")</f>
        <v>€/a</v>
      </c>
      <c r="R20" s="962"/>
      <c r="S20" s="292"/>
    </row>
    <row r="21" spans="1:24" s="23" customFormat="1" ht="15" customHeight="1" x14ac:dyDescent="0.3">
      <c r="A21" s="26"/>
      <c r="B21" s="31"/>
      <c r="C21" s="869" t="s">
        <v>39</v>
      </c>
      <c r="D21" s="869"/>
      <c r="E21" s="869"/>
      <c r="F21" s="898">
        <v>11</v>
      </c>
      <c r="G21" s="898"/>
      <c r="H21" s="869" t="s">
        <v>23</v>
      </c>
      <c r="I21" s="26"/>
      <c r="J21" s="26"/>
      <c r="K21" s="51"/>
      <c r="L21" s="26"/>
      <c r="M21" s="912"/>
      <c r="N21" s="912"/>
      <c r="O21" s="989"/>
      <c r="P21" s="989"/>
      <c r="Q21" s="962"/>
      <c r="R21" s="962"/>
      <c r="S21" s="26"/>
      <c r="T21" s="22"/>
      <c r="U21" s="22"/>
      <c r="V21" s="22"/>
      <c r="W21" s="22"/>
      <c r="X21" s="22"/>
    </row>
    <row r="22" spans="1:24" ht="15" customHeight="1" x14ac:dyDescent="0.3">
      <c r="A22" s="292"/>
      <c r="B22" s="8"/>
      <c r="C22" s="869"/>
      <c r="D22" s="869"/>
      <c r="E22" s="869"/>
      <c r="F22" s="898"/>
      <c r="G22" s="898"/>
      <c r="H22" s="869"/>
      <c r="I22" s="292"/>
      <c r="J22" s="292"/>
      <c r="K22" s="9"/>
      <c r="L22" s="292"/>
      <c r="M22" s="46"/>
      <c r="N22" s="46"/>
      <c r="O22" s="46"/>
      <c r="P22" s="46"/>
      <c r="Q22" s="46"/>
      <c r="R22" s="46"/>
      <c r="S22" s="292"/>
    </row>
    <row r="23" spans="1:24" ht="15" customHeight="1" x14ac:dyDescent="0.3">
      <c r="A23" s="292"/>
      <c r="B23" s="8"/>
      <c r="C23" s="292"/>
      <c r="D23" s="292"/>
      <c r="E23" s="292"/>
      <c r="F23" s="292"/>
      <c r="G23" s="292"/>
      <c r="H23" s="18"/>
      <c r="I23" s="19"/>
      <c r="J23" s="19"/>
      <c r="K23" s="45"/>
      <c r="L23" s="292"/>
      <c r="M23" s="50"/>
      <c r="N23" s="48"/>
      <c r="O23" s="48"/>
      <c r="P23" s="48"/>
      <c r="Q23" s="48"/>
      <c r="R23" s="48"/>
      <c r="S23" s="292"/>
    </row>
    <row r="24" spans="1:24" ht="15" customHeight="1" x14ac:dyDescent="0.3">
      <c r="A24" s="292"/>
      <c r="B24" s="8"/>
      <c r="C24" s="292"/>
      <c r="D24" s="292"/>
      <c r="E24" s="292"/>
      <c r="F24" s="292"/>
      <c r="G24" s="292"/>
      <c r="H24" s="19"/>
      <c r="I24" s="19"/>
      <c r="J24" s="19"/>
      <c r="K24" s="45"/>
      <c r="L24" s="292"/>
      <c r="M24" s="54"/>
      <c r="N24" s="49"/>
      <c r="O24" s="49"/>
      <c r="P24" s="49"/>
      <c r="Q24" s="48"/>
      <c r="R24" s="48"/>
      <c r="S24" s="292"/>
    </row>
    <row r="25" spans="1:24" ht="15" customHeight="1" x14ac:dyDescent="0.3">
      <c r="A25" s="26"/>
      <c r="B25" s="8"/>
      <c r="C25" s="869" t="s">
        <v>317</v>
      </c>
      <c r="D25" s="869"/>
      <c r="E25" s="869"/>
      <c r="F25" s="898">
        <v>125</v>
      </c>
      <c r="G25" s="898"/>
      <c r="H25" s="869" t="s">
        <v>23</v>
      </c>
      <c r="I25" s="19"/>
      <c r="J25" s="19"/>
      <c r="K25" s="45"/>
      <c r="L25" s="292"/>
      <c r="M25" s="904" t="str">
        <f>IF(F25="","",O54)</f>
        <v>Insulation recommended</v>
      </c>
      <c r="N25" s="904"/>
      <c r="O25" s="904"/>
      <c r="P25" s="904"/>
      <c r="Q25" s="48"/>
      <c r="R25" s="48"/>
      <c r="S25" s="292"/>
    </row>
    <row r="26" spans="1:24" ht="15" customHeight="1" x14ac:dyDescent="0.3">
      <c r="A26" s="292"/>
      <c r="B26" s="8"/>
      <c r="C26" s="869"/>
      <c r="D26" s="869"/>
      <c r="E26" s="869"/>
      <c r="F26" s="898"/>
      <c r="G26" s="898"/>
      <c r="H26" s="869"/>
      <c r="I26" s="19"/>
      <c r="J26" s="19"/>
      <c r="K26" s="45"/>
      <c r="L26" s="292"/>
      <c r="M26" s="904"/>
      <c r="N26" s="904"/>
      <c r="O26" s="904"/>
      <c r="P26" s="904"/>
      <c r="Q26" s="48"/>
      <c r="R26" s="292"/>
      <c r="S26" s="292"/>
    </row>
    <row r="27" spans="1:24" ht="15" customHeight="1" thickBot="1" x14ac:dyDescent="0.35">
      <c r="A27" s="29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92"/>
      <c r="M27" s="904"/>
      <c r="N27" s="904"/>
      <c r="O27" s="904"/>
      <c r="P27" s="904"/>
      <c r="Q27" s="48"/>
      <c r="R27" s="292"/>
      <c r="S27" s="292"/>
    </row>
    <row r="28" spans="1:24" ht="15" customHeight="1" thickTop="1" thickBot="1" x14ac:dyDescent="0.35">
      <c r="A28" s="292"/>
      <c r="B28" s="292"/>
      <c r="C28" s="292"/>
      <c r="D28" s="292"/>
      <c r="E28" s="292"/>
      <c r="F28" s="292"/>
      <c r="G28" s="292"/>
      <c r="H28" s="292"/>
      <c r="I28" s="292"/>
      <c r="J28" s="292"/>
      <c r="K28" s="292"/>
      <c r="L28" s="292"/>
      <c r="M28" s="292"/>
      <c r="N28" s="292"/>
      <c r="O28" s="292"/>
      <c r="P28" s="292"/>
      <c r="Q28" s="292"/>
      <c r="R28" s="292"/>
      <c r="S28" s="292"/>
    </row>
    <row r="29" spans="1:24" ht="15" customHeight="1" thickTop="1" x14ac:dyDescent="0.3">
      <c r="A29" s="29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92"/>
    </row>
    <row r="30" spans="1:24" x14ac:dyDescent="0.3">
      <c r="A30" s="292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292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292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3">
      <c r="A33" s="292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3">
      <c r="A34" s="292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3">
      <c r="A35" s="292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3">
      <c r="A36" s="292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3">
      <c r="A37" s="292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3">
      <c r="A38" s="292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3">
      <c r="A39" s="292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3">
      <c r="A40" s="292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3">
      <c r="A41" s="292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1.8" thickBot="1" x14ac:dyDescent="0.35">
      <c r="A44" s="893" t="s">
        <v>5</v>
      </c>
      <c r="B44" s="894"/>
      <c r="C44" s="295" t="s">
        <v>169</v>
      </c>
      <c r="D44" s="295" t="s">
        <v>112</v>
      </c>
      <c r="E44" s="295" t="s">
        <v>113</v>
      </c>
      <c r="F44" s="88"/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8" t="s">
        <v>420</v>
      </c>
      <c r="M44" s="89" t="s">
        <v>14</v>
      </c>
      <c r="N44" s="118" t="s">
        <v>116</v>
      </c>
      <c r="O44" s="89" t="s">
        <v>114</v>
      </c>
      <c r="P44" s="89" t="s">
        <v>115</v>
      </c>
      <c r="Q44" s="89" t="s">
        <v>27</v>
      </c>
      <c r="R44" s="119" t="s">
        <v>117</v>
      </c>
      <c r="S44" s="84" t="s">
        <v>416</v>
      </c>
      <c r="T44" s="86" t="s">
        <v>94</v>
      </c>
      <c r="U44" s="86" t="s">
        <v>95</v>
      </c>
      <c r="V44" s="966" t="s">
        <v>70</v>
      </c>
      <c r="W44" s="966"/>
      <c r="X44" s="121"/>
      <c r="Y44" s="120"/>
      <c r="Z44" s="120"/>
      <c r="AA44" s="120"/>
      <c r="AB44" s="16"/>
      <c r="AC44" s="16"/>
      <c r="AD44" s="16"/>
    </row>
    <row r="45" spans="1:30" ht="18.600000000000001" thickBot="1" x14ac:dyDescent="0.35">
      <c r="A45" s="956">
        <f>G4</f>
        <v>0</v>
      </c>
      <c r="B45" s="957"/>
      <c r="C45" s="296">
        <f>D13</f>
        <v>200</v>
      </c>
      <c r="D45" s="234">
        <f>VLOOKUP(C45,A75:B114,2,TRUE)</f>
        <v>0.22</v>
      </c>
      <c r="E45" s="592">
        <f>J13</f>
        <v>0.5</v>
      </c>
      <c r="F45" s="296"/>
      <c r="G45" s="232">
        <f>F25</f>
        <v>125</v>
      </c>
      <c r="H45" s="232">
        <f>F21</f>
        <v>11</v>
      </c>
      <c r="I45" s="236">
        <f>H17</f>
        <v>0.8</v>
      </c>
      <c r="J45" s="232">
        <f>P5</f>
        <v>8760</v>
      </c>
      <c r="K45" s="236">
        <f>TBi!L27</f>
        <v>0.05</v>
      </c>
      <c r="L45" s="232">
        <f>I13</f>
        <v>6</v>
      </c>
      <c r="M45" s="131">
        <f>IF(G45=0,"",I45*D60*(((G45+273)^4-(H45+273)^4)/(G45-H45)))</f>
        <v>7.3959240934691204</v>
      </c>
      <c r="N45" s="167">
        <f>D45^3*ABS(G45-H45)</f>
        <v>1.2138719999999998</v>
      </c>
      <c r="O45" s="132">
        <f>IF(G45=0,"",1.25*(ABS(G45-H45)/D45)^0.25)</f>
        <v>5.963902785610987</v>
      </c>
      <c r="P45" s="132">
        <f>1.21*(ABS(G45-H45))^0.33</f>
        <v>5.7751593412105828</v>
      </c>
      <c r="Q45" s="132">
        <f>IF(N45&lt;10,O45+M45,P45+M45)</f>
        <v>13.359826879080106</v>
      </c>
      <c r="R45" s="168">
        <f>1/(D59*Q45*D45)</f>
        <v>0.108299287762134</v>
      </c>
      <c r="S45" s="133">
        <f>IF(G45=0,"",ABS(G45-H45)/R45)</f>
        <v>1052.638501652817</v>
      </c>
      <c r="T45" s="134">
        <f>IF(G45="","",L45*S45*J45*E45/1000)</f>
        <v>27663.339823436028</v>
      </c>
      <c r="U45" s="182">
        <f>IF(G45=0,"",T45*K45)</f>
        <v>1383.1669911718016</v>
      </c>
      <c r="V45" s="127" t="s">
        <v>71</v>
      </c>
      <c r="W45" s="127" t="s">
        <v>24</v>
      </c>
      <c r="X45" s="122"/>
      <c r="Y45" s="123"/>
      <c r="Z45" s="123"/>
      <c r="AA45" s="123"/>
      <c r="AB45" s="16"/>
      <c r="AC45" s="16"/>
      <c r="AD45" s="16"/>
    </row>
    <row r="46" spans="1:30" ht="15" thickBot="1" x14ac:dyDescent="0.35">
      <c r="A46" s="956" t="s">
        <v>110</v>
      </c>
      <c r="B46" s="957"/>
      <c r="C46" s="296"/>
      <c r="D46" s="234">
        <f>E53</f>
        <v>0.28000000000000003</v>
      </c>
      <c r="E46" s="592">
        <f t="shared" ref="E46:K47" si="0">E45</f>
        <v>0.5</v>
      </c>
      <c r="F46" s="296"/>
      <c r="G46" s="235">
        <f t="shared" si="0"/>
        <v>125</v>
      </c>
      <c r="H46" s="232">
        <f t="shared" si="0"/>
        <v>11</v>
      </c>
      <c r="I46" s="236">
        <f t="shared" si="0"/>
        <v>0.8</v>
      </c>
      <c r="J46" s="232">
        <f t="shared" si="0"/>
        <v>8760</v>
      </c>
      <c r="K46" s="236">
        <f t="shared" si="0"/>
        <v>0.05</v>
      </c>
      <c r="L46" s="232">
        <f>I13</f>
        <v>6</v>
      </c>
      <c r="M46" s="131">
        <f>IF(G46=0,"",I46*D60*(((G46+273)^4-(H46+273)^4)/(G46-H46)))</f>
        <v>7.3959240934691204</v>
      </c>
      <c r="N46" s="167">
        <f>D46^3*ABS(G46-H46)</f>
        <v>2.5025280000000008</v>
      </c>
      <c r="O46" s="132">
        <f>IF(G46=0,"",1.25*(ABS(G46-H46)/D46)^0.25)</f>
        <v>5.6149606624340649</v>
      </c>
      <c r="P46" s="132">
        <f>1.21*(ABS(G46-H46))^0.33</f>
        <v>5.7751593412105828</v>
      </c>
      <c r="Q46" s="132">
        <f>IF(N46&lt;10,O46+M46,P46+M46)</f>
        <v>13.010884755903184</v>
      </c>
      <c r="R46" s="168">
        <f>1/(D59*Q46*D46)</f>
        <v>8.7374408815152446E-2</v>
      </c>
      <c r="S46" s="133">
        <f>ABS(G45-H45)/(E54+R46)</f>
        <v>173.19523631454527</v>
      </c>
      <c r="T46" s="238">
        <f>IF(G46=0,"",L46*S46*J46*E46/1000)</f>
        <v>4551.5708103462493</v>
      </c>
      <c r="U46" s="239">
        <f>IF(G46=0,"",T46*K46)</f>
        <v>227.57854051731249</v>
      </c>
      <c r="V46" s="85">
        <f>T45-T46</f>
        <v>23111.769013089779</v>
      </c>
      <c r="W46" s="181">
        <f>U45-U46</f>
        <v>1155.588450654489</v>
      </c>
      <c r="X46" s="122"/>
      <c r="Y46" s="123"/>
      <c r="Z46" s="123"/>
      <c r="AA46" s="123"/>
      <c r="AB46" s="16"/>
      <c r="AC46" s="16"/>
      <c r="AD46" s="16"/>
    </row>
    <row r="47" spans="1:30" x14ac:dyDescent="0.3">
      <c r="A47" s="956" t="s">
        <v>324</v>
      </c>
      <c r="B47" s="957"/>
      <c r="C47" s="396"/>
      <c r="D47" s="234">
        <f>F53</f>
        <v>0.57999999999999996</v>
      </c>
      <c r="E47" s="592">
        <f t="shared" si="0"/>
        <v>0.5</v>
      </c>
      <c r="F47" s="396"/>
      <c r="G47" s="235">
        <f t="shared" si="0"/>
        <v>125</v>
      </c>
      <c r="H47" s="232">
        <f t="shared" si="0"/>
        <v>11</v>
      </c>
      <c r="I47" s="236">
        <f t="shared" si="0"/>
        <v>0.8</v>
      </c>
      <c r="J47" s="232">
        <f t="shared" si="0"/>
        <v>8760</v>
      </c>
      <c r="K47" s="236">
        <f t="shared" si="0"/>
        <v>0.05</v>
      </c>
      <c r="L47" s="232">
        <f>I13</f>
        <v>6</v>
      </c>
      <c r="M47" s="131">
        <f>IF(G47=0,"",I47*$D$60*(((G47+273)^4-(H47+273)^4)/(G47-H47)))</f>
        <v>7.3959240934691204</v>
      </c>
      <c r="N47" s="167">
        <f>D47^3*ABS(G47-H47)</f>
        <v>22.242767999999998</v>
      </c>
      <c r="O47" s="132">
        <f>IF(G47=0,"",1.25*(ABS(G47-H47)/D47)^0.25)</f>
        <v>4.6803596593877552</v>
      </c>
      <c r="P47" s="132">
        <f>1.21*(ABS(G47-H47))^0.33</f>
        <v>5.7751593412105828</v>
      </c>
      <c r="Q47" s="132">
        <f>IF(N47&lt;10,O47+M47,P47+M47)</f>
        <v>13.171083434679703</v>
      </c>
      <c r="R47" s="168">
        <f>1/(D59*Q47*D47)</f>
        <v>4.1667708504059875E-2</v>
      </c>
      <c r="S47" s="133">
        <f>ABS(G47-H47)/(F54+R47)</f>
        <v>48.795397008460178</v>
      </c>
      <c r="T47" s="238">
        <f>IF(G47=0,"",L47*S47*J47*E47/1000)</f>
        <v>1282.3430333823333</v>
      </c>
      <c r="U47" s="239">
        <f>IF(G47=0,"",T47*K47)</f>
        <v>64.117151669116666</v>
      </c>
      <c r="V47" s="430">
        <f>T45-T47</f>
        <v>26380.996790053694</v>
      </c>
      <c r="W47" s="430">
        <f>U45-U47</f>
        <v>1319.0498395026848</v>
      </c>
      <c r="X47" s="122"/>
      <c r="Y47" s="123"/>
      <c r="Z47" s="123"/>
      <c r="AA47" s="123"/>
      <c r="AB47" s="16"/>
      <c r="AC47" s="16"/>
      <c r="AD47" s="16"/>
    </row>
    <row r="48" spans="1:30" s="16" customFormat="1" ht="18.600000000000001" thickBot="1" x14ac:dyDescent="0.35">
      <c r="A48" s="62"/>
      <c r="B48" s="62"/>
      <c r="C48" s="62"/>
      <c r="D48" s="62"/>
      <c r="E48" s="63" t="s">
        <v>321</v>
      </c>
      <c r="F48" s="63" t="s">
        <v>322</v>
      </c>
      <c r="G48" s="63"/>
      <c r="H48" s="63"/>
      <c r="I48" s="63"/>
      <c r="J48" s="64"/>
      <c r="K48" s="65"/>
      <c r="L48" s="64"/>
      <c r="M48" s="66"/>
      <c r="N48" s="135"/>
      <c r="O48" s="135"/>
      <c r="P48" s="959"/>
      <c r="Q48" s="959"/>
      <c r="R48" s="37"/>
      <c r="S48" s="37"/>
      <c r="T48" s="37"/>
    </row>
    <row r="49" spans="1:22" s="16" customFormat="1" ht="18.600000000000001" thickBot="1" x14ac:dyDescent="0.35">
      <c r="A49" s="68"/>
      <c r="B49" s="62"/>
      <c r="C49" s="887" t="s">
        <v>61</v>
      </c>
      <c r="D49" s="888"/>
      <c r="E49" s="282">
        <f>(G45+(H45+35))/2</f>
        <v>85.5</v>
      </c>
      <c r="F49" s="282">
        <f>(G45+(H45+20))/2</f>
        <v>78</v>
      </c>
      <c r="G49" s="63"/>
      <c r="H49" s="63"/>
      <c r="I49" s="63"/>
      <c r="J49" s="64"/>
      <c r="K49" s="65"/>
      <c r="L49" s="81"/>
      <c r="M49" s="81"/>
      <c r="N49" s="81"/>
      <c r="O49" s="81"/>
      <c r="P49" s="297"/>
      <c r="Q49" s="297"/>
      <c r="R49" s="37"/>
      <c r="S49" s="37"/>
      <c r="T49" s="37"/>
    </row>
    <row r="50" spans="1:22" s="16" customFormat="1" ht="16.2" customHeight="1" thickBot="1" x14ac:dyDescent="0.35">
      <c r="A50" s="62"/>
      <c r="B50" s="62"/>
      <c r="C50" s="887" t="s">
        <v>411</v>
      </c>
      <c r="D50" s="888"/>
      <c r="E50" s="283">
        <f>C63+C64*E49+C65*E49^2+C66*E49^3</f>
        <v>4.4825039612487502E-2</v>
      </c>
      <c r="F50" s="283">
        <f>C63+C64*E49+C65*E49^2+C66*E49^3</f>
        <v>4.4825039612487502E-2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181</v>
      </c>
    </row>
    <row r="51" spans="1:22" s="16" customFormat="1" ht="16.8" customHeight="1" thickBot="1" x14ac:dyDescent="0.35">
      <c r="A51" s="62"/>
      <c r="B51" s="62"/>
      <c r="C51" s="889" t="s">
        <v>410</v>
      </c>
      <c r="D51" s="890"/>
      <c r="E51" s="281">
        <f>E50*C62</f>
        <v>6.7237559418731246E-2</v>
      </c>
      <c r="F51" s="281">
        <f>E51</f>
        <v>6.7237559418731246E-2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" thickBot="1" x14ac:dyDescent="0.35">
      <c r="A52" s="62"/>
      <c r="B52" s="62"/>
      <c r="C52" s="891" t="s">
        <v>412</v>
      </c>
      <c r="D52" s="892"/>
      <c r="E52" s="148">
        <f>IF((G45-H45)&lt;F63,G63/1000,IF((G45-H45)&lt;F64,G64/1000,IF((G45-H45)&lt;F65,(G65/1000),G66/1000)))</f>
        <v>0.03</v>
      </c>
      <c r="F52" s="429">
        <f>IF((G45-H45)&lt;F63,H63/1000,IF((G45-H45)&lt;F64,H64/1000,IF((G45-H45)&lt;F65,(H65/1000),H66/1000)))</f>
        <v>0.18</v>
      </c>
      <c r="G52" s="63"/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" thickBot="1" x14ac:dyDescent="0.35">
      <c r="A53" s="62"/>
      <c r="B53" s="62"/>
      <c r="C53" s="976" t="s">
        <v>415</v>
      </c>
      <c r="D53" s="977" t="s">
        <v>172</v>
      </c>
      <c r="E53" s="148">
        <f>D45+2*E52</f>
        <v>0.28000000000000003</v>
      </c>
      <c r="F53" s="429">
        <f>D45+2*F52</f>
        <v>0.57999999999999996</v>
      </c>
      <c r="G53" s="63"/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" thickBot="1" x14ac:dyDescent="0.35">
      <c r="A54" s="62"/>
      <c r="B54" s="62"/>
      <c r="C54" s="976" t="s">
        <v>173</v>
      </c>
      <c r="D54" s="977"/>
      <c r="E54" s="152">
        <f>LN(E53/D45)/(2*D59*E51)</f>
        <v>0.57084230906824851</v>
      </c>
      <c r="F54" s="152">
        <f>LN(F53/D45)/(2*D59*F51)</f>
        <v>2.2946182321602739</v>
      </c>
      <c r="G54" s="63"/>
      <c r="H54" s="63"/>
      <c r="I54" s="63"/>
      <c r="J54" s="64"/>
      <c r="K54" s="65"/>
      <c r="L54" s="64"/>
      <c r="M54" s="66"/>
      <c r="N54" s="129"/>
      <c r="O54" s="967" t="str">
        <f>IF(E55&gt;S46,"Insulation recommended","System_ok")</f>
        <v>Insulation recommended</v>
      </c>
      <c r="P54" s="968"/>
      <c r="Q54" s="968"/>
      <c r="R54" s="968"/>
      <c r="S54" s="968"/>
      <c r="T54" s="969"/>
    </row>
    <row r="55" spans="1:22" s="16" customFormat="1" ht="15" thickBot="1" x14ac:dyDescent="0.35">
      <c r="A55" s="62"/>
      <c r="B55" s="62"/>
      <c r="C55" s="976" t="s">
        <v>149</v>
      </c>
      <c r="D55" s="977"/>
      <c r="E55" s="158">
        <f>S45-(10000*D70*E56/J45/K45)</f>
        <v>952.22206329665266</v>
      </c>
      <c r="F55" s="158"/>
      <c r="G55" s="17" t="s">
        <v>183</v>
      </c>
      <c r="H55" s="63"/>
      <c r="I55" s="63"/>
      <c r="J55" s="64"/>
      <c r="K55" s="65"/>
      <c r="L55" s="64"/>
      <c r="M55" s="66"/>
      <c r="N55" s="129"/>
      <c r="O55" s="970"/>
      <c r="P55" s="971"/>
      <c r="Q55" s="971"/>
      <c r="R55" s="971"/>
      <c r="S55" s="971"/>
      <c r="T55" s="972"/>
    </row>
    <row r="56" spans="1:22" s="16" customFormat="1" ht="15" thickBot="1" x14ac:dyDescent="0.35">
      <c r="A56" s="62"/>
      <c r="B56" s="62"/>
      <c r="C56" s="978" t="s">
        <v>414</v>
      </c>
      <c r="D56" s="979"/>
      <c r="E56" s="152">
        <f>D59*(E53)</f>
        <v>0.8796480000000001</v>
      </c>
      <c r="F56" s="152"/>
      <c r="G56" s="63"/>
      <c r="H56" s="63"/>
      <c r="I56" s="63"/>
      <c r="J56" s="64"/>
      <c r="K56" s="65"/>
      <c r="L56" s="64"/>
      <c r="M56" s="66"/>
      <c r="N56" s="129"/>
      <c r="O56" s="973"/>
      <c r="P56" s="974"/>
      <c r="Q56" s="974"/>
      <c r="R56" s="974"/>
      <c r="S56" s="974"/>
      <c r="T56" s="975"/>
    </row>
    <row r="57" spans="1:22" s="16" customFormat="1" x14ac:dyDescent="0.3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" thickBot="1" x14ac:dyDescent="0.35">
      <c r="A58" s="947" t="s">
        <v>119</v>
      </c>
      <c r="B58" s="947"/>
      <c r="C58" s="947"/>
      <c r="D58" s="947"/>
      <c r="E58" s="947"/>
      <c r="F58" s="947"/>
      <c r="G58" s="947"/>
      <c r="H58" s="947"/>
      <c r="I58" s="947"/>
      <c r="J58" s="947"/>
      <c r="K58" s="947"/>
      <c r="L58" s="947"/>
      <c r="M58" s="947"/>
      <c r="N58" s="947"/>
      <c r="O58" s="947"/>
      <c r="P58" s="947"/>
      <c r="Q58" s="947"/>
      <c r="R58" s="947"/>
      <c r="S58" s="947"/>
      <c r="T58" s="947"/>
      <c r="U58" s="16" t="s">
        <v>92</v>
      </c>
    </row>
    <row r="59" spans="1:22" s="2" customFormat="1" ht="15" thickBot="1" x14ac:dyDescent="0.35">
      <c r="A59" s="948" t="s">
        <v>174</v>
      </c>
      <c r="B59" s="949"/>
      <c r="C59" s="949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57"/>
      <c r="O59" s="157"/>
      <c r="P59" s="143"/>
      <c r="Q59" s="143"/>
      <c r="R59" s="144"/>
      <c r="S59" s="144"/>
      <c r="T59" s="144"/>
    </row>
    <row r="60" spans="1:22" s="2" customFormat="1" ht="15" thickBot="1" x14ac:dyDescent="0.35">
      <c r="A60" s="950" t="s">
        <v>90</v>
      </c>
      <c r="B60" s="949"/>
      <c r="C60" s="949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2" s="2" customFormat="1" ht="15" thickBot="1" x14ac:dyDescent="0.35">
      <c r="A61" s="169"/>
      <c r="B61" s="951" t="s">
        <v>120</v>
      </c>
      <c r="C61" s="952"/>
      <c r="D61" s="169"/>
      <c r="E61" s="953" t="s">
        <v>122</v>
      </c>
      <c r="F61" s="954"/>
      <c r="G61" s="955"/>
      <c r="H61" s="63"/>
      <c r="I61" s="138"/>
      <c r="J61" s="139"/>
      <c r="K61" s="140"/>
      <c r="L61" s="139"/>
      <c r="M61" s="141"/>
      <c r="N61" s="157"/>
      <c r="O61" s="157"/>
      <c r="P61" s="143"/>
      <c r="Q61" s="143"/>
      <c r="R61" s="144"/>
      <c r="S61" s="144"/>
      <c r="T61" s="144"/>
    </row>
    <row r="62" spans="1:22" s="2" customFormat="1" ht="15" thickBot="1" x14ac:dyDescent="0.35">
      <c r="A62" s="170"/>
      <c r="B62" s="171" t="s">
        <v>63</v>
      </c>
      <c r="C62" s="237">
        <v>1.5</v>
      </c>
      <c r="D62" s="63"/>
      <c r="E62" s="524"/>
      <c r="F62" s="525" t="s">
        <v>75</v>
      </c>
      <c r="G62" s="526" t="s">
        <v>319</v>
      </c>
      <c r="H62" s="526" t="s">
        <v>320</v>
      </c>
      <c r="I62" s="139"/>
      <c r="J62" s="140"/>
      <c r="K62" s="139"/>
      <c r="L62" s="141"/>
      <c r="M62" s="157"/>
      <c r="N62" s="157"/>
      <c r="O62" s="143"/>
      <c r="P62" s="143"/>
      <c r="Q62" s="144"/>
      <c r="R62" s="144"/>
      <c r="S62" s="144"/>
      <c r="T62" s="145"/>
    </row>
    <row r="63" spans="1:22" s="2" customFormat="1" x14ac:dyDescent="0.3">
      <c r="A63" s="170"/>
      <c r="B63" s="172" t="s">
        <v>57</v>
      </c>
      <c r="C63" s="173">
        <f>0.0338</f>
        <v>3.3799999999999997E-2</v>
      </c>
      <c r="D63" s="63"/>
      <c r="E63" s="527" t="s">
        <v>91</v>
      </c>
      <c r="F63" s="528">
        <v>80</v>
      </c>
      <c r="G63" s="529">
        <v>20</v>
      </c>
      <c r="H63" s="529">
        <v>100</v>
      </c>
      <c r="I63" s="139"/>
      <c r="J63" s="140"/>
      <c r="K63" s="139"/>
      <c r="L63" s="141"/>
      <c r="M63" s="157"/>
      <c r="N63" s="157"/>
      <c r="O63" s="143"/>
      <c r="P63" s="143"/>
      <c r="Q63" s="144"/>
      <c r="R63" s="144"/>
      <c r="S63" s="144"/>
      <c r="T63" s="145"/>
    </row>
    <row r="64" spans="1:22" s="2" customFormat="1" x14ac:dyDescent="0.3">
      <c r="A64" s="170"/>
      <c r="B64" s="172" t="s">
        <v>58</v>
      </c>
      <c r="C64" s="173">
        <v>1.1730000000000001E-4</v>
      </c>
      <c r="D64" s="63"/>
      <c r="E64" s="527" t="s">
        <v>91</v>
      </c>
      <c r="F64" s="528">
        <v>150</v>
      </c>
      <c r="G64" s="529">
        <v>30</v>
      </c>
      <c r="H64" s="529">
        <v>180</v>
      </c>
      <c r="I64" s="139"/>
      <c r="J64" s="140"/>
      <c r="K64" s="139"/>
      <c r="L64" s="141"/>
      <c r="M64" s="157"/>
      <c r="N64" s="157"/>
      <c r="O64" s="143"/>
      <c r="P64" s="143"/>
      <c r="Q64" s="144"/>
      <c r="R64" s="144"/>
      <c r="S64" s="144"/>
      <c r="T64" s="145"/>
    </row>
    <row r="65" spans="1:24" s="2" customFormat="1" x14ac:dyDescent="0.3">
      <c r="A65" s="170"/>
      <c r="B65" s="172" t="s">
        <v>59</v>
      </c>
      <c r="C65" s="173">
        <v>7.5450000000000004E-8</v>
      </c>
      <c r="D65" s="63"/>
      <c r="E65" s="527" t="s">
        <v>91</v>
      </c>
      <c r="F65" s="528">
        <v>250</v>
      </c>
      <c r="G65" s="529">
        <v>50</v>
      </c>
      <c r="H65" s="529">
        <v>250</v>
      </c>
      <c r="I65" s="139"/>
      <c r="J65" s="140"/>
      <c r="K65" s="139"/>
      <c r="L65" s="141"/>
      <c r="M65" s="157"/>
      <c r="N65" s="157"/>
      <c r="O65" s="143"/>
      <c r="P65" s="143"/>
      <c r="Q65" s="144"/>
      <c r="R65" s="144"/>
      <c r="S65" s="144"/>
      <c r="T65" s="145"/>
    </row>
    <row r="66" spans="1:24" customFormat="1" ht="15" thickBot="1" x14ac:dyDescent="0.35">
      <c r="A66" s="62"/>
      <c r="B66" s="174" t="s">
        <v>60</v>
      </c>
      <c r="C66" s="175">
        <v>7.109E-10</v>
      </c>
      <c r="D66" s="63"/>
      <c r="E66" s="527" t="s">
        <v>91</v>
      </c>
      <c r="F66" s="528"/>
      <c r="G66" s="529">
        <v>80</v>
      </c>
      <c r="H66" s="529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3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916" t="s">
        <v>153</v>
      </c>
      <c r="P67" s="916"/>
      <c r="Q67" s="916"/>
      <c r="R67" s="916"/>
      <c r="S67" s="916"/>
      <c r="T67" s="916"/>
    </row>
    <row r="68" spans="1:24" customFormat="1" ht="15" thickBot="1" x14ac:dyDescent="0.35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906" t="s">
        <v>154</v>
      </c>
      <c r="P68" s="906"/>
      <c r="Q68" s="906"/>
      <c r="R68" s="242">
        <v>80</v>
      </c>
      <c r="S68" s="204" t="s">
        <v>72</v>
      </c>
      <c r="T68" s="205"/>
    </row>
    <row r="69" spans="1:24" customFormat="1" ht="15" thickBot="1" x14ac:dyDescent="0.35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906" t="s">
        <v>155</v>
      </c>
      <c r="P69" s="906"/>
      <c r="Q69" s="906"/>
      <c r="R69" s="242">
        <v>250</v>
      </c>
      <c r="S69" s="204" t="s">
        <v>72</v>
      </c>
      <c r="T69" s="205"/>
    </row>
    <row r="70" spans="1:24" customFormat="1" ht="15" thickBot="1" x14ac:dyDescent="0.35">
      <c r="A70" s="944" t="s">
        <v>159</v>
      </c>
      <c r="B70" s="945"/>
      <c r="C70" s="946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906" t="s">
        <v>74</v>
      </c>
      <c r="P70" s="906"/>
      <c r="Q70" s="906"/>
      <c r="R70" s="242">
        <v>5</v>
      </c>
      <c r="S70" s="204" t="s">
        <v>73</v>
      </c>
      <c r="T70" s="205"/>
      <c r="U70" t="s">
        <v>124</v>
      </c>
    </row>
    <row r="71" spans="1:24" customFormat="1" ht="15" thickBot="1" x14ac:dyDescent="0.35">
      <c r="A71" s="944" t="s">
        <v>96</v>
      </c>
      <c r="B71" s="945"/>
      <c r="C71" s="946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906" t="s">
        <v>157</v>
      </c>
      <c r="P71" s="906"/>
      <c r="Q71" s="906"/>
      <c r="R71" s="309">
        <f>0.1*R68/R70</f>
        <v>1.6</v>
      </c>
      <c r="S71" s="204"/>
      <c r="T71" s="205"/>
      <c r="U71" t="s">
        <v>182</v>
      </c>
    </row>
    <row r="72" spans="1:24" customFormat="1" x14ac:dyDescent="0.3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906" t="s">
        <v>158</v>
      </c>
      <c r="P72" s="906"/>
      <c r="Q72" s="906"/>
      <c r="R72" s="244">
        <f>0.1*R69/R70</f>
        <v>5</v>
      </c>
      <c r="S72" s="206"/>
      <c r="T72" s="205"/>
    </row>
    <row r="74" spans="1:24" x14ac:dyDescent="0.3">
      <c r="A74" s="286" t="s">
        <v>169</v>
      </c>
      <c r="B74" s="286" t="s">
        <v>54</v>
      </c>
    </row>
    <row r="75" spans="1:24" x14ac:dyDescent="0.3">
      <c r="A75" s="287">
        <v>10</v>
      </c>
      <c r="B75" s="288">
        <v>1.7999999999999999E-2</v>
      </c>
      <c r="S75" s="16"/>
      <c r="X75" s="17"/>
    </row>
    <row r="76" spans="1:24" x14ac:dyDescent="0.3">
      <c r="A76" s="287">
        <v>15</v>
      </c>
      <c r="B76" s="288">
        <v>2.1999999999999999E-2</v>
      </c>
      <c r="S76" s="16"/>
      <c r="X76" s="17"/>
    </row>
    <row r="77" spans="1:24" x14ac:dyDescent="0.3">
      <c r="A77" s="287">
        <v>20</v>
      </c>
      <c r="B77" s="288">
        <v>2.7E-2</v>
      </c>
      <c r="S77" s="16"/>
      <c r="X77" s="17"/>
    </row>
    <row r="78" spans="1:24" x14ac:dyDescent="0.3">
      <c r="A78" s="287">
        <v>25</v>
      </c>
      <c r="B78" s="288">
        <v>3.4000000000000002E-2</v>
      </c>
      <c r="S78" s="16"/>
      <c r="X78" s="17"/>
    </row>
    <row r="79" spans="1:24" x14ac:dyDescent="0.3">
      <c r="A79" s="287">
        <v>32</v>
      </c>
      <c r="B79" s="288">
        <v>4.2999999999999997E-2</v>
      </c>
      <c r="S79" s="16"/>
      <c r="X79" s="17"/>
    </row>
    <row r="80" spans="1:24" x14ac:dyDescent="0.3">
      <c r="A80" s="287">
        <v>40</v>
      </c>
      <c r="B80" s="288">
        <v>4.9000000000000002E-2</v>
      </c>
      <c r="S80" s="16"/>
      <c r="X80" s="17"/>
    </row>
    <row r="81" spans="1:24" x14ac:dyDescent="0.3">
      <c r="A81" s="287">
        <v>50</v>
      </c>
      <c r="B81" s="288">
        <v>6.0999999999999999E-2</v>
      </c>
      <c r="S81" s="16"/>
      <c r="X81" s="17"/>
    </row>
    <row r="82" spans="1:24" x14ac:dyDescent="0.3">
      <c r="A82" s="287">
        <v>60</v>
      </c>
      <c r="B82" s="288">
        <v>7.1999999999999995E-2</v>
      </c>
      <c r="S82" s="16"/>
      <c r="X82" s="17"/>
    </row>
    <row r="83" spans="1:24" x14ac:dyDescent="0.3">
      <c r="A83" s="287">
        <v>65</v>
      </c>
      <c r="B83" s="288">
        <v>7.6999999999999999E-2</v>
      </c>
      <c r="S83" s="16"/>
      <c r="X83" s="17"/>
    </row>
    <row r="84" spans="1:24" x14ac:dyDescent="0.3">
      <c r="A84" s="287">
        <v>80</v>
      </c>
      <c r="B84" s="288">
        <v>8.8999999999999996E-2</v>
      </c>
      <c r="S84" s="16"/>
      <c r="X84" s="17"/>
    </row>
    <row r="85" spans="1:24" x14ac:dyDescent="0.3">
      <c r="A85" s="287">
        <v>100</v>
      </c>
      <c r="B85" s="288">
        <v>0.115</v>
      </c>
      <c r="S85" s="16"/>
      <c r="X85" s="17"/>
    </row>
    <row r="86" spans="1:24" x14ac:dyDescent="0.3">
      <c r="A86" s="287">
        <v>125</v>
      </c>
      <c r="B86" s="288">
        <v>0.14099999999999999</v>
      </c>
      <c r="S86" s="16"/>
      <c r="X86" s="17"/>
    </row>
    <row r="87" spans="1:24" x14ac:dyDescent="0.3">
      <c r="A87" s="287">
        <v>150</v>
      </c>
      <c r="B87" s="288">
        <v>0.16900000000000001</v>
      </c>
      <c r="S87" s="16"/>
      <c r="X87" s="17"/>
    </row>
    <row r="88" spans="1:24" x14ac:dyDescent="0.3">
      <c r="A88" s="287">
        <v>200</v>
      </c>
      <c r="B88" s="288">
        <v>0.22</v>
      </c>
      <c r="S88" s="16"/>
      <c r="X88" s="17"/>
    </row>
    <row r="89" spans="1:24" x14ac:dyDescent="0.3">
      <c r="A89" s="287">
        <v>250</v>
      </c>
      <c r="B89" s="288">
        <v>0.27300000000000002</v>
      </c>
      <c r="S89" s="16"/>
      <c r="X89" s="17"/>
    </row>
    <row r="90" spans="1:24" x14ac:dyDescent="0.3">
      <c r="A90" s="287">
        <v>300</v>
      </c>
      <c r="B90" s="288">
        <v>0.32400000000000001</v>
      </c>
      <c r="S90" s="16"/>
      <c r="X90" s="17"/>
    </row>
    <row r="91" spans="1:24" x14ac:dyDescent="0.3">
      <c r="A91" s="287">
        <v>350</v>
      </c>
      <c r="B91" s="288">
        <v>0.35599999999999998</v>
      </c>
      <c r="S91" s="16"/>
      <c r="X91" s="17"/>
    </row>
    <row r="92" spans="1:24" x14ac:dyDescent="0.3">
      <c r="A92" s="287">
        <v>400</v>
      </c>
      <c r="B92" s="288">
        <v>0.40699999999999997</v>
      </c>
      <c r="S92" s="16"/>
      <c r="X92" s="17"/>
    </row>
    <row r="93" spans="1:24" x14ac:dyDescent="0.3">
      <c r="A93" s="287">
        <v>450</v>
      </c>
      <c r="B93" s="288">
        <v>0.45800000000000002</v>
      </c>
      <c r="S93" s="16"/>
      <c r="X93" s="17"/>
    </row>
    <row r="94" spans="1:24" x14ac:dyDescent="0.3">
      <c r="A94" s="287">
        <v>500</v>
      </c>
      <c r="B94" s="288">
        <v>0.50800000000000001</v>
      </c>
      <c r="S94" s="16"/>
      <c r="X94" s="17"/>
    </row>
    <row r="95" spans="1:24" x14ac:dyDescent="0.3">
      <c r="A95" s="287">
        <v>600</v>
      </c>
      <c r="B95" s="288">
        <v>0.61</v>
      </c>
      <c r="S95" s="16"/>
      <c r="X95" s="17"/>
    </row>
    <row r="96" spans="1:24" x14ac:dyDescent="0.3">
      <c r="A96" s="287">
        <v>700</v>
      </c>
      <c r="B96" s="288">
        <v>0.71199999999999997</v>
      </c>
      <c r="S96" s="16"/>
      <c r="X96" s="17"/>
    </row>
    <row r="97" spans="1:24" x14ac:dyDescent="0.3">
      <c r="A97" s="287">
        <v>800</v>
      </c>
      <c r="B97" s="288">
        <v>0.81299999999999994</v>
      </c>
      <c r="S97" s="16"/>
      <c r="X97" s="17"/>
    </row>
    <row r="98" spans="1:24" x14ac:dyDescent="0.3">
      <c r="A98" s="287">
        <v>900</v>
      </c>
      <c r="B98" s="288">
        <v>0.91500000000000004</v>
      </c>
      <c r="S98" s="16"/>
      <c r="X98" s="17"/>
    </row>
    <row r="99" spans="1:24" x14ac:dyDescent="0.3">
      <c r="A99" s="287">
        <v>1000</v>
      </c>
      <c r="B99" s="288">
        <v>1.016</v>
      </c>
      <c r="S99" s="16"/>
      <c r="X99" s="17"/>
    </row>
    <row r="100" spans="1:24" x14ac:dyDescent="0.3">
      <c r="A100" s="287">
        <v>1100</v>
      </c>
      <c r="B100" s="288">
        <v>1.1200000000000001</v>
      </c>
      <c r="S100" s="16"/>
      <c r="X100" s="17"/>
    </row>
    <row r="101" spans="1:24" x14ac:dyDescent="0.3">
      <c r="A101" s="287">
        <v>1200</v>
      </c>
      <c r="B101" s="288">
        <v>1.22</v>
      </c>
      <c r="S101" s="16"/>
      <c r="X101" s="17"/>
    </row>
    <row r="102" spans="1:24" x14ac:dyDescent="0.3">
      <c r="A102" s="287">
        <v>1400</v>
      </c>
      <c r="B102" s="288">
        <v>1.42</v>
      </c>
      <c r="S102" s="16"/>
      <c r="X102" s="17"/>
    </row>
    <row r="103" spans="1:24" x14ac:dyDescent="0.3">
      <c r="A103" s="287">
        <v>1500</v>
      </c>
      <c r="B103" s="288">
        <v>1.52</v>
      </c>
      <c r="S103" s="16"/>
      <c r="X103" s="17"/>
    </row>
    <row r="104" spans="1:24" x14ac:dyDescent="0.3">
      <c r="A104" s="287">
        <v>1600</v>
      </c>
      <c r="B104" s="288">
        <v>1.62</v>
      </c>
      <c r="S104" s="16"/>
      <c r="X104" s="17"/>
    </row>
    <row r="105" spans="1:24" x14ac:dyDescent="0.3">
      <c r="A105" s="287">
        <v>1800</v>
      </c>
      <c r="B105" s="288">
        <v>1.82</v>
      </c>
      <c r="S105" s="16"/>
      <c r="X105" s="17"/>
    </row>
    <row r="106" spans="1:24" x14ac:dyDescent="0.3">
      <c r="A106" s="287">
        <v>2000</v>
      </c>
      <c r="B106" s="288">
        <v>2.02</v>
      </c>
      <c r="S106" s="16"/>
      <c r="X106" s="17"/>
    </row>
    <row r="107" spans="1:24" x14ac:dyDescent="0.3">
      <c r="A107" s="287">
        <v>2000</v>
      </c>
      <c r="B107" s="288">
        <v>2.02</v>
      </c>
      <c r="S107" s="16"/>
      <c r="X107" s="17"/>
    </row>
    <row r="108" spans="1:24" x14ac:dyDescent="0.3">
      <c r="A108" s="287">
        <v>2200</v>
      </c>
      <c r="B108" s="288">
        <v>2.2200000000000002</v>
      </c>
      <c r="S108" s="16"/>
      <c r="X108" s="17"/>
    </row>
    <row r="109" spans="1:24" x14ac:dyDescent="0.3">
      <c r="A109" s="287">
        <v>2400</v>
      </c>
      <c r="B109" s="288">
        <v>2.42</v>
      </c>
      <c r="S109" s="16"/>
      <c r="X109" s="17"/>
    </row>
    <row r="110" spans="1:24" x14ac:dyDescent="0.3">
      <c r="A110" s="287">
        <v>2600</v>
      </c>
      <c r="B110" s="288">
        <v>2.62</v>
      </c>
      <c r="S110" s="16"/>
      <c r="X110" s="17"/>
    </row>
    <row r="111" spans="1:24" x14ac:dyDescent="0.3">
      <c r="A111" s="287">
        <v>2800</v>
      </c>
      <c r="B111" s="288">
        <v>2.82</v>
      </c>
      <c r="S111" s="16"/>
      <c r="X111" s="17"/>
    </row>
    <row r="112" spans="1:24" x14ac:dyDescent="0.3">
      <c r="A112" s="287">
        <v>3000</v>
      </c>
      <c r="B112" s="288">
        <v>3.02</v>
      </c>
      <c r="S112" s="16"/>
      <c r="X112" s="17"/>
    </row>
    <row r="113" spans="1:25" x14ac:dyDescent="0.3">
      <c r="A113" s="287">
        <v>3200</v>
      </c>
      <c r="B113" s="288">
        <v>3.22</v>
      </c>
      <c r="S113" s="16"/>
      <c r="X113" s="17"/>
    </row>
    <row r="114" spans="1:25" x14ac:dyDescent="0.3">
      <c r="A114" s="287">
        <v>3400</v>
      </c>
      <c r="B114" s="288">
        <v>3.42</v>
      </c>
      <c r="S114" s="16"/>
      <c r="X114" s="17"/>
    </row>
    <row r="117" spans="1:25" ht="61.8" thickBot="1" x14ac:dyDescent="0.35">
      <c r="A117" s="893" t="s">
        <v>5</v>
      </c>
      <c r="B117" s="894"/>
      <c r="C117" s="577" t="s">
        <v>169</v>
      </c>
      <c r="D117" s="577" t="s">
        <v>112</v>
      </c>
      <c r="E117" s="577" t="s">
        <v>113</v>
      </c>
      <c r="F117" s="88"/>
      <c r="G117" s="88" t="s">
        <v>30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8" t="s">
        <v>420</v>
      </c>
      <c r="M117" s="89" t="s">
        <v>14</v>
      </c>
      <c r="N117" s="118" t="s">
        <v>116</v>
      </c>
      <c r="O117" s="89" t="s">
        <v>114</v>
      </c>
      <c r="P117" s="89" t="s">
        <v>115</v>
      </c>
      <c r="Q117" s="89" t="s">
        <v>27</v>
      </c>
      <c r="R117" s="119" t="s">
        <v>117</v>
      </c>
      <c r="S117" s="84" t="s">
        <v>416</v>
      </c>
      <c r="T117" s="86" t="s">
        <v>94</v>
      </c>
      <c r="U117" s="86" t="s">
        <v>95</v>
      </c>
      <c r="V117" s="966" t="s">
        <v>70</v>
      </c>
      <c r="W117" s="966"/>
      <c r="Y117" s="16"/>
    </row>
    <row r="118" spans="1:25" ht="18.600000000000001" thickBot="1" x14ac:dyDescent="0.35">
      <c r="A118" s="956"/>
      <c r="B118" s="957"/>
      <c r="C118" s="573"/>
      <c r="D118" s="595" t="s">
        <v>419</v>
      </c>
      <c r="E118" s="592"/>
      <c r="F118" s="573"/>
      <c r="G118" s="232"/>
      <c r="H118" s="232"/>
      <c r="I118" s="236"/>
      <c r="J118" s="232"/>
      <c r="K118" s="236"/>
      <c r="L118" s="236"/>
      <c r="M118" s="593">
        <v>1</v>
      </c>
      <c r="N118" s="594">
        <v>32</v>
      </c>
      <c r="O118" s="593">
        <v>33</v>
      </c>
      <c r="P118" s="593">
        <v>34</v>
      </c>
      <c r="Q118" s="593">
        <f>IF(N118&lt;10,O118+M118,P118+M118)</f>
        <v>35</v>
      </c>
      <c r="R118" s="593">
        <v>42</v>
      </c>
      <c r="S118" s="593">
        <v>43</v>
      </c>
      <c r="T118" s="596">
        <v>47</v>
      </c>
      <c r="U118" s="596">
        <v>6</v>
      </c>
      <c r="V118" s="127" t="s">
        <v>71</v>
      </c>
      <c r="W118" s="127" t="s">
        <v>24</v>
      </c>
      <c r="Y118" s="16"/>
    </row>
    <row r="119" spans="1:25" ht="15" thickBot="1" x14ac:dyDescent="0.35">
      <c r="A119" s="956" t="s">
        <v>323</v>
      </c>
      <c r="B119" s="957"/>
      <c r="C119" s="573"/>
      <c r="D119" s="595" t="s">
        <v>417</v>
      </c>
      <c r="E119" s="592"/>
      <c r="F119" s="573"/>
      <c r="G119" s="235"/>
      <c r="H119" s="232"/>
      <c r="I119" s="236"/>
      <c r="J119" s="232"/>
      <c r="K119" s="236"/>
      <c r="L119" s="236"/>
      <c r="M119" s="593">
        <v>1</v>
      </c>
      <c r="N119" s="594">
        <v>32</v>
      </c>
      <c r="O119" s="593">
        <v>33</v>
      </c>
      <c r="P119" s="593">
        <v>34</v>
      </c>
      <c r="Q119" s="593">
        <f>IF(N119&lt;10,O119+M119,P119+M119)</f>
        <v>35</v>
      </c>
      <c r="R119" s="593">
        <v>42</v>
      </c>
      <c r="S119" s="593">
        <v>45</v>
      </c>
      <c r="T119" s="238">
        <v>47</v>
      </c>
      <c r="U119" s="238">
        <v>6</v>
      </c>
      <c r="V119" s="590">
        <v>26</v>
      </c>
      <c r="W119" s="590">
        <v>28</v>
      </c>
      <c r="Y119" s="16"/>
    </row>
    <row r="120" spans="1:25" x14ac:dyDescent="0.3">
      <c r="A120" s="956" t="s">
        <v>324</v>
      </c>
      <c r="B120" s="957"/>
      <c r="C120" s="573"/>
      <c r="D120" s="595" t="s">
        <v>418</v>
      </c>
      <c r="E120" s="592"/>
      <c r="F120" s="573"/>
      <c r="G120" s="235"/>
      <c r="H120" s="232"/>
      <c r="I120" s="236"/>
      <c r="J120" s="232"/>
      <c r="K120" s="236"/>
      <c r="L120" s="236"/>
      <c r="M120" s="593">
        <v>1</v>
      </c>
      <c r="N120" s="594">
        <v>32</v>
      </c>
      <c r="O120" s="593">
        <v>33</v>
      </c>
      <c r="P120" s="593">
        <v>34</v>
      </c>
      <c r="Q120" s="593">
        <f>IF(N120&lt;10,O120+M120,P120+M120)</f>
        <v>35</v>
      </c>
      <c r="R120" s="593">
        <v>42</v>
      </c>
      <c r="S120" s="593">
        <v>46</v>
      </c>
      <c r="T120" s="238">
        <v>47</v>
      </c>
      <c r="U120" s="238">
        <v>6</v>
      </c>
      <c r="V120" s="590">
        <v>27</v>
      </c>
      <c r="W120" s="590">
        <v>29</v>
      </c>
      <c r="Y120" s="16"/>
    </row>
    <row r="121" spans="1:25" ht="18" x14ac:dyDescent="0.3">
      <c r="A121" s="62"/>
      <c r="B121" s="62"/>
      <c r="C121" s="62"/>
      <c r="D121" s="62"/>
      <c r="E121" s="63" t="s">
        <v>321</v>
      </c>
      <c r="F121" s="63" t="s">
        <v>322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959"/>
      <c r="Q121" s="959"/>
      <c r="R121" s="570"/>
      <c r="S121" s="570"/>
      <c r="T121" s="570"/>
    </row>
    <row r="122" spans="1:25" ht="18" x14ac:dyDescent="0.3">
      <c r="A122" s="68"/>
      <c r="B122" s="62"/>
      <c r="C122" s="887" t="s">
        <v>61</v>
      </c>
      <c r="D122" s="888"/>
      <c r="E122" s="588">
        <v>7</v>
      </c>
      <c r="F122" s="588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76"/>
      <c r="Q122" s="576"/>
      <c r="R122" s="570"/>
      <c r="S122" s="570"/>
      <c r="T122" s="570"/>
    </row>
    <row r="123" spans="1:25" ht="16.2" customHeight="1" x14ac:dyDescent="0.3">
      <c r="A123" s="62"/>
      <c r="B123" s="62"/>
      <c r="C123" s="887" t="s">
        <v>411</v>
      </c>
      <c r="D123" s="888"/>
      <c r="E123" s="588">
        <v>9</v>
      </c>
      <c r="F123" s="588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70"/>
      <c r="S123" s="570"/>
      <c r="T123" s="570"/>
      <c r="V123" s="16" t="s">
        <v>181</v>
      </c>
    </row>
    <row r="124" spans="1:25" ht="16.2" customHeight="1" thickBot="1" x14ac:dyDescent="0.35">
      <c r="A124" s="62"/>
      <c r="B124" s="62"/>
      <c r="C124" s="889" t="s">
        <v>410</v>
      </c>
      <c r="D124" s="890"/>
      <c r="E124" s="588">
        <v>11</v>
      </c>
      <c r="F124" s="588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70"/>
      <c r="S124" s="570"/>
      <c r="T124" s="570"/>
    </row>
    <row r="125" spans="1:25" ht="16.2" thickBot="1" x14ac:dyDescent="0.35">
      <c r="A125" s="62"/>
      <c r="B125" s="62"/>
      <c r="C125" s="891" t="s">
        <v>412</v>
      </c>
      <c r="D125" s="892"/>
      <c r="E125" s="588">
        <v>13</v>
      </c>
      <c r="F125" s="588">
        <v>14</v>
      </c>
      <c r="G125" s="63"/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70"/>
      <c r="S125" s="570"/>
      <c r="T125" s="570"/>
      <c r="U125" s="151"/>
      <c r="V125" s="151"/>
    </row>
    <row r="126" spans="1:25" ht="16.2" thickBot="1" x14ac:dyDescent="0.35">
      <c r="A126" s="62"/>
      <c r="B126" s="62"/>
      <c r="C126" s="976" t="s">
        <v>415</v>
      </c>
      <c r="D126" s="977" t="s">
        <v>172</v>
      </c>
      <c r="E126" s="588">
        <v>36</v>
      </c>
      <c r="F126" s="588">
        <v>37</v>
      </c>
      <c r="G126" s="63"/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70"/>
      <c r="S126" s="570"/>
      <c r="T126" s="570"/>
    </row>
    <row r="127" spans="1:25" ht="16.2" thickBot="1" x14ac:dyDescent="0.35">
      <c r="A127" s="62"/>
      <c r="B127" s="62"/>
      <c r="C127" s="976" t="s">
        <v>173</v>
      </c>
      <c r="D127" s="977"/>
      <c r="E127" s="588">
        <v>38</v>
      </c>
      <c r="F127" s="588">
        <v>39</v>
      </c>
      <c r="G127" s="63"/>
      <c r="H127" s="63"/>
      <c r="I127" s="63"/>
      <c r="J127" s="64"/>
      <c r="K127" s="65"/>
      <c r="L127" s="64"/>
      <c r="M127" s="66"/>
      <c r="N127" s="129"/>
      <c r="O127" s="967">
        <v>30</v>
      </c>
      <c r="P127" s="968"/>
      <c r="Q127" s="968"/>
      <c r="R127" s="968"/>
      <c r="S127" s="968"/>
      <c r="T127" s="969"/>
    </row>
    <row r="128" spans="1:25" ht="16.2" thickBot="1" x14ac:dyDescent="0.35">
      <c r="A128" s="62"/>
      <c r="B128" s="62"/>
      <c r="C128" s="976" t="s">
        <v>149</v>
      </c>
      <c r="D128" s="977"/>
      <c r="E128" s="588">
        <v>48</v>
      </c>
      <c r="F128" s="588"/>
      <c r="G128" s="17" t="s">
        <v>183</v>
      </c>
      <c r="H128" s="63"/>
      <c r="I128" s="63"/>
      <c r="J128" s="64"/>
      <c r="K128" s="65"/>
      <c r="L128" s="64"/>
      <c r="M128" s="66"/>
      <c r="N128" s="129"/>
      <c r="O128" s="970"/>
      <c r="P128" s="971"/>
      <c r="Q128" s="971"/>
      <c r="R128" s="971"/>
      <c r="S128" s="971"/>
      <c r="T128" s="972"/>
    </row>
    <row r="129" spans="1:20" ht="16.2" thickBot="1" x14ac:dyDescent="0.35">
      <c r="A129" s="62"/>
      <c r="B129" s="62"/>
      <c r="C129" s="978" t="s">
        <v>414</v>
      </c>
      <c r="D129" s="979"/>
      <c r="E129" s="588">
        <v>40</v>
      </c>
      <c r="F129" s="588"/>
      <c r="G129" s="63"/>
      <c r="H129" s="63"/>
      <c r="I129" s="63"/>
      <c r="J129" s="64"/>
      <c r="K129" s="65"/>
      <c r="L129" s="64"/>
      <c r="M129" s="66"/>
      <c r="N129" s="129"/>
      <c r="O129" s="973"/>
      <c r="P129" s="974"/>
      <c r="Q129" s="974"/>
      <c r="R129" s="974"/>
      <c r="S129" s="974"/>
      <c r="T129" s="975"/>
    </row>
  </sheetData>
  <mergeCells count="79">
    <mergeCell ref="C126:D126"/>
    <mergeCell ref="C127:D127"/>
    <mergeCell ref="O127:T129"/>
    <mergeCell ref="C128:D128"/>
    <mergeCell ref="C129:D129"/>
    <mergeCell ref="P121:Q121"/>
    <mergeCell ref="C122:D122"/>
    <mergeCell ref="C123:D123"/>
    <mergeCell ref="C124:D124"/>
    <mergeCell ref="C125:D125"/>
    <mergeCell ref="A117:B117"/>
    <mergeCell ref="V117:W117"/>
    <mergeCell ref="A118:B118"/>
    <mergeCell ref="A119:B119"/>
    <mergeCell ref="A120:B120"/>
    <mergeCell ref="A47:B47"/>
    <mergeCell ref="O18:O19"/>
    <mergeCell ref="P18:P19"/>
    <mergeCell ref="O20:O21"/>
    <mergeCell ref="P20:P21"/>
    <mergeCell ref="H25:H26"/>
    <mergeCell ref="A44:B44"/>
    <mergeCell ref="U12:X16"/>
    <mergeCell ref="C5:E6"/>
    <mergeCell ref="K5:M6"/>
    <mergeCell ref="N5:O6"/>
    <mergeCell ref="K8:M9"/>
    <mergeCell ref="N8:O9"/>
    <mergeCell ref="G5:J6"/>
    <mergeCell ref="P8:P9"/>
    <mergeCell ref="C13:C14"/>
    <mergeCell ref="D13:E14"/>
    <mergeCell ref="F13:F14"/>
    <mergeCell ref="G13:H14"/>
    <mergeCell ref="K13:K14"/>
    <mergeCell ref="M14:N17"/>
    <mergeCell ref="O14:P15"/>
    <mergeCell ref="J13:J14"/>
    <mergeCell ref="I13:I14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V44:W44"/>
    <mergeCell ref="A45:B45"/>
    <mergeCell ref="A46:B46"/>
    <mergeCell ref="M25:P27"/>
    <mergeCell ref="C25:E26"/>
    <mergeCell ref="F25:G26"/>
    <mergeCell ref="P48:Q48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8" priority="1" operator="greaterThan">
      <formula>55</formula>
    </cfRule>
  </conditionalFormatting>
  <dataValidations count="1">
    <dataValidation type="list" allowBlank="1" showInputMessage="1" showErrorMessage="1" promptTitle="Select a value " sqref="F17" xr:uid="{A8B248DE-ED49-4F32-A3B4-7BCFC57CB67C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8BA1A0C-D4D0-40B0-9F85-9ED9942F64AA}">
          <x14:formula1>
            <xm:f>'Default values '!$C$2:$C$10</xm:f>
          </x14:formula1>
          <xm:sqref>N5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7881E-EB31-4E10-990B-98EDAB1B8EB7}">
  <dimension ref="A1:AD129"/>
  <sheetViews>
    <sheetView topLeftCell="A52" zoomScaleNormal="100" workbookViewId="0">
      <selection activeCell="J53" sqref="J53"/>
    </sheetView>
  </sheetViews>
  <sheetFormatPr defaultRowHeight="14.4" x14ac:dyDescent="0.3"/>
  <cols>
    <col min="1" max="2" width="5.21875" style="17" customWidth="1"/>
    <col min="3" max="3" width="14.664062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7.8867187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3.8867187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339"/>
      <c r="B1" s="339"/>
      <c r="C1" s="339"/>
      <c r="D1" s="339"/>
      <c r="E1" s="339"/>
      <c r="F1" s="339"/>
      <c r="G1" s="339"/>
      <c r="H1" s="339"/>
      <c r="I1" s="339"/>
      <c r="J1" s="339"/>
      <c r="K1" s="339"/>
      <c r="L1" s="339"/>
      <c r="M1" s="339"/>
      <c r="N1" s="339"/>
      <c r="O1" s="339"/>
      <c r="P1" s="339"/>
      <c r="Q1" s="339"/>
      <c r="R1" s="339"/>
      <c r="S1" s="339"/>
      <c r="U1" s="164"/>
    </row>
    <row r="2" spans="1:24" ht="15" customHeight="1" x14ac:dyDescent="0.3">
      <c r="A2" s="339"/>
      <c r="B2" s="15"/>
      <c r="C2" s="15"/>
      <c r="D2" s="15"/>
      <c r="E2" s="15"/>
      <c r="F2" s="15"/>
      <c r="G2" s="339"/>
      <c r="H2" s="339"/>
      <c r="I2" s="339"/>
      <c r="J2" s="339"/>
      <c r="K2" s="339"/>
      <c r="L2" s="339"/>
      <c r="M2" s="339"/>
      <c r="N2" s="339"/>
      <c r="O2" s="339"/>
      <c r="P2" s="339"/>
      <c r="Q2" s="339"/>
      <c r="R2" s="339"/>
      <c r="S2" s="339"/>
      <c r="U2" s="164"/>
    </row>
    <row r="3" spans="1:24" ht="4.8" customHeight="1" x14ac:dyDescent="0.3">
      <c r="A3" s="339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39"/>
      <c r="U3" s="164"/>
    </row>
    <row r="4" spans="1:24" ht="5.4" customHeight="1" x14ac:dyDescent="0.3">
      <c r="A4" s="339"/>
      <c r="B4" s="339"/>
      <c r="C4" s="339"/>
      <c r="D4" s="339"/>
      <c r="E4" s="339"/>
      <c r="F4" s="339"/>
      <c r="G4" s="285"/>
      <c r="H4" s="285"/>
      <c r="I4" s="285"/>
      <c r="J4" s="285"/>
      <c r="K4" s="339"/>
      <c r="L4" s="339"/>
      <c r="M4" s="339"/>
      <c r="N4" s="339"/>
      <c r="O4" s="339"/>
      <c r="P4" s="339"/>
      <c r="Q4" s="339"/>
      <c r="R4" s="339"/>
      <c r="S4" s="339"/>
      <c r="T4" s="24"/>
      <c r="U4" s="392"/>
    </row>
    <row r="5" spans="1:24" s="23" customFormat="1" ht="15" customHeight="1" x14ac:dyDescent="0.3">
      <c r="A5" s="26"/>
      <c r="B5" s="28"/>
      <c r="C5" s="864" t="s">
        <v>16</v>
      </c>
      <c r="D5" s="864"/>
      <c r="E5" s="864"/>
      <c r="F5" s="32" t="s">
        <v>40</v>
      </c>
      <c r="G5" s="996" t="s">
        <v>50</v>
      </c>
      <c r="H5" s="996"/>
      <c r="I5" s="996"/>
      <c r="J5" s="996"/>
      <c r="K5" s="866" t="s">
        <v>15</v>
      </c>
      <c r="L5" s="866"/>
      <c r="M5" s="866"/>
      <c r="N5" s="984" t="s">
        <v>34</v>
      </c>
      <c r="O5" s="984"/>
      <c r="P5" s="32">
        <f>VLOOKUP(N5,'[1]Default values '!C2:D10,2,TRUE)</f>
        <v>8760</v>
      </c>
      <c r="Q5" s="28"/>
      <c r="R5" s="28"/>
      <c r="S5" s="28"/>
      <c r="T5" s="25"/>
      <c r="U5" s="22"/>
      <c r="V5" s="22"/>
      <c r="W5" s="22"/>
      <c r="X5" s="22"/>
    </row>
    <row r="6" spans="1:24" ht="15" customHeight="1" x14ac:dyDescent="0.35">
      <c r="A6" s="339"/>
      <c r="B6" s="14"/>
      <c r="C6" s="864"/>
      <c r="D6" s="864"/>
      <c r="E6" s="864"/>
      <c r="F6" s="32"/>
      <c r="G6" s="996"/>
      <c r="H6" s="996"/>
      <c r="I6" s="996"/>
      <c r="J6" s="996"/>
      <c r="K6" s="866"/>
      <c r="L6" s="866"/>
      <c r="M6" s="866"/>
      <c r="N6" s="984"/>
      <c r="O6" s="984"/>
      <c r="P6" s="14"/>
      <c r="Q6" s="14"/>
      <c r="R6" s="14"/>
      <c r="S6" s="14"/>
      <c r="U6" s="164"/>
    </row>
    <row r="7" spans="1:24" ht="15" customHeight="1" x14ac:dyDescent="0.35">
      <c r="A7" s="339"/>
      <c r="B7" s="14"/>
      <c r="C7" s="340"/>
      <c r="D7" s="340"/>
      <c r="E7" s="340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  <c r="U7" s="16" t="s">
        <v>271</v>
      </c>
    </row>
    <row r="8" spans="1:24" ht="15" customHeight="1" x14ac:dyDescent="0.35">
      <c r="A8" s="339"/>
      <c r="B8" s="14"/>
      <c r="C8" s="340"/>
      <c r="D8" s="340"/>
      <c r="E8" s="340"/>
      <c r="F8" s="47"/>
      <c r="G8" s="285"/>
      <c r="H8" s="285"/>
      <c r="I8" s="285"/>
      <c r="J8" s="285"/>
      <c r="K8" s="866"/>
      <c r="L8" s="866"/>
      <c r="M8" s="866"/>
      <c r="N8" s="868"/>
      <c r="O8" s="868"/>
      <c r="P8" s="869"/>
      <c r="Q8" s="14"/>
      <c r="R8" s="14"/>
      <c r="S8" s="14"/>
      <c r="U8" s="16" t="s">
        <v>267</v>
      </c>
    </row>
    <row r="9" spans="1:24" s="23" customFormat="1" ht="15" customHeight="1" x14ac:dyDescent="0.35">
      <c r="A9" s="339"/>
      <c r="B9" s="14"/>
      <c r="C9" s="340"/>
      <c r="D9" s="340"/>
      <c r="E9" s="340"/>
      <c r="F9" s="47"/>
      <c r="G9" s="285"/>
      <c r="H9" s="285"/>
      <c r="I9" s="285"/>
      <c r="J9" s="285"/>
      <c r="K9" s="866"/>
      <c r="L9" s="866"/>
      <c r="M9" s="866"/>
      <c r="N9" s="868"/>
      <c r="O9" s="868"/>
      <c r="P9" s="869"/>
      <c r="Q9" s="26"/>
      <c r="R9" s="26"/>
      <c r="S9" s="26"/>
      <c r="T9" s="22"/>
      <c r="U9" s="16" t="s">
        <v>255</v>
      </c>
      <c r="V9" s="16"/>
      <c r="W9" s="16"/>
      <c r="X9" s="16"/>
    </row>
    <row r="10" spans="1:24" ht="15" customHeight="1" x14ac:dyDescent="0.35">
      <c r="A10" s="339"/>
      <c r="B10" s="14"/>
      <c r="C10" s="340"/>
      <c r="D10" s="340"/>
      <c r="E10" s="340"/>
      <c r="F10" s="47"/>
      <c r="G10" s="47"/>
      <c r="H10" s="47"/>
      <c r="I10" s="339"/>
      <c r="J10" s="339"/>
      <c r="K10" s="339"/>
      <c r="L10" s="339"/>
      <c r="M10" s="339"/>
      <c r="N10" s="339"/>
      <c r="O10" s="339"/>
      <c r="P10" s="339"/>
      <c r="Q10" s="339"/>
      <c r="R10" s="339"/>
      <c r="S10" s="339"/>
      <c r="U10" s="22"/>
      <c r="V10" s="22"/>
      <c r="W10" s="22"/>
      <c r="X10" s="22"/>
    </row>
    <row r="11" spans="1:24" ht="15" customHeight="1" thickBot="1" x14ac:dyDescent="0.4">
      <c r="A11" s="339"/>
      <c r="B11" s="14"/>
      <c r="C11" s="14"/>
      <c r="D11" s="14"/>
      <c r="E11" s="14"/>
      <c r="F11" s="14"/>
      <c r="G11" s="14"/>
      <c r="H11" s="14"/>
      <c r="I11" s="339"/>
      <c r="J11" s="339"/>
      <c r="K11" s="339"/>
      <c r="L11" s="339"/>
      <c r="M11" s="339"/>
      <c r="N11" s="339"/>
      <c r="O11" s="339"/>
      <c r="P11" s="339"/>
      <c r="Q11" s="339"/>
      <c r="R11" s="339"/>
      <c r="S11" s="339"/>
      <c r="U11" s="982" t="s">
        <v>268</v>
      </c>
      <c r="V11" s="983"/>
      <c r="W11" s="983"/>
      <c r="X11" s="983"/>
    </row>
    <row r="12" spans="1:24" ht="15" customHeight="1" thickTop="1" x14ac:dyDescent="0.35">
      <c r="A12" s="339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39"/>
      <c r="M12" s="15"/>
      <c r="N12" s="15"/>
      <c r="O12" s="15"/>
      <c r="P12" s="15"/>
      <c r="Q12" s="15"/>
      <c r="R12" s="15"/>
      <c r="S12" s="339"/>
      <c r="U12" s="983"/>
      <c r="V12" s="983"/>
      <c r="W12" s="983"/>
      <c r="X12" s="983"/>
    </row>
    <row r="13" spans="1:24" s="23" customFormat="1" ht="15" customHeight="1" x14ac:dyDescent="0.3">
      <c r="A13" s="26"/>
      <c r="B13" s="31"/>
      <c r="C13" s="964" t="s">
        <v>449</v>
      </c>
      <c r="D13" s="965">
        <v>200</v>
      </c>
      <c r="E13" s="965"/>
      <c r="F13" s="869"/>
      <c r="G13" s="986" t="s">
        <v>448</v>
      </c>
      <c r="H13" s="986"/>
      <c r="I13" s="965">
        <v>1</v>
      </c>
      <c r="J13" s="995">
        <v>1</v>
      </c>
      <c r="K13" s="963"/>
      <c r="L13" s="26"/>
      <c r="M13" s="46"/>
      <c r="N13" s="46"/>
      <c r="O13" s="46"/>
      <c r="P13" s="46"/>
      <c r="Q13" s="46"/>
      <c r="R13" s="46"/>
      <c r="S13" s="26"/>
      <c r="T13" s="22"/>
      <c r="U13" s="983"/>
      <c r="V13" s="983"/>
      <c r="W13" s="983"/>
      <c r="X13" s="983"/>
    </row>
    <row r="14" spans="1:24" ht="15" customHeight="1" x14ac:dyDescent="0.3">
      <c r="A14" s="339"/>
      <c r="B14" s="8"/>
      <c r="C14" s="964"/>
      <c r="D14" s="965"/>
      <c r="E14" s="965"/>
      <c r="F14" s="869"/>
      <c r="G14" s="986"/>
      <c r="H14" s="986"/>
      <c r="I14" s="965"/>
      <c r="J14" s="995"/>
      <c r="K14" s="963"/>
      <c r="L14" s="26"/>
      <c r="M14" s="899" t="s">
        <v>175</v>
      </c>
      <c r="N14" s="899"/>
      <c r="O14" s="915">
        <f>IF(F25=0,"",T45)</f>
        <v>28012.473579065423</v>
      </c>
      <c r="P14" s="915"/>
      <c r="Q14" s="909" t="str">
        <f>IF(F25="","","kWh/a")</f>
        <v>kWh/a</v>
      </c>
      <c r="R14" s="909"/>
      <c r="S14" s="339"/>
      <c r="U14" s="983"/>
      <c r="V14" s="983"/>
      <c r="W14" s="983"/>
      <c r="X14" s="983"/>
    </row>
    <row r="15" spans="1:24" ht="15" customHeight="1" x14ac:dyDescent="0.3">
      <c r="A15" s="339"/>
      <c r="B15" s="8"/>
      <c r="C15" s="339"/>
      <c r="D15" s="339"/>
      <c r="E15" s="339"/>
      <c r="F15" s="33"/>
      <c r="G15" s="33"/>
      <c r="H15" s="339"/>
      <c r="I15" s="15"/>
      <c r="J15" s="15"/>
      <c r="K15" s="45"/>
      <c r="L15" s="15"/>
      <c r="M15" s="899"/>
      <c r="N15" s="899"/>
      <c r="O15" s="915"/>
      <c r="P15" s="915"/>
      <c r="Q15" s="909"/>
      <c r="R15" s="909"/>
      <c r="S15" s="339"/>
      <c r="U15" s="983"/>
      <c r="V15" s="983"/>
      <c r="W15" s="983"/>
      <c r="X15" s="983"/>
    </row>
    <row r="16" spans="1:24" ht="15" customHeight="1" x14ac:dyDescent="0.3">
      <c r="A16" s="339"/>
      <c r="B16" s="8"/>
      <c r="C16" s="339"/>
      <c r="D16" s="339"/>
      <c r="E16" s="339"/>
      <c r="F16" s="33"/>
      <c r="G16" s="33"/>
      <c r="H16" s="339"/>
      <c r="I16" s="27"/>
      <c r="J16" s="27"/>
      <c r="K16" s="45"/>
      <c r="L16" s="27"/>
      <c r="M16" s="899"/>
      <c r="N16" s="899"/>
      <c r="O16" s="910">
        <f>IF(F25=0,"",U45)</f>
        <v>1400.6236789532713</v>
      </c>
      <c r="P16" s="910"/>
      <c r="Q16" s="911" t="str">
        <f>IF(F25=0,"","€/a")</f>
        <v>€/a</v>
      </c>
      <c r="R16" s="911"/>
      <c r="S16" s="339"/>
    </row>
    <row r="17" spans="1:24" s="23" customFormat="1" ht="15" customHeight="1" x14ac:dyDescent="0.3">
      <c r="A17" s="26"/>
      <c r="B17" s="31"/>
      <c r="C17" s="869" t="s">
        <v>109</v>
      </c>
      <c r="D17" s="869"/>
      <c r="E17" s="869"/>
      <c r="F17" s="908" t="s">
        <v>11</v>
      </c>
      <c r="G17" s="908"/>
      <c r="H17" s="52">
        <f>IF(F17="","",VLOOKUP(F17,'[1]Default values '!A2:B7,2,FALSE))</f>
        <v>0.8</v>
      </c>
      <c r="I17" s="27"/>
      <c r="J17" s="27"/>
      <c r="K17" s="51"/>
      <c r="L17" s="27"/>
      <c r="M17" s="899"/>
      <c r="N17" s="899"/>
      <c r="O17" s="910"/>
      <c r="P17" s="910"/>
      <c r="Q17" s="911"/>
      <c r="R17" s="911"/>
      <c r="S17" s="26"/>
      <c r="T17" s="22"/>
      <c r="U17" s="22"/>
      <c r="V17" s="22"/>
      <c r="W17" s="22"/>
      <c r="X17" s="22"/>
    </row>
    <row r="18" spans="1:24" ht="15" customHeight="1" x14ac:dyDescent="0.3">
      <c r="A18" s="339"/>
      <c r="B18" s="8"/>
      <c r="C18" s="869"/>
      <c r="D18" s="869"/>
      <c r="E18" s="869"/>
      <c r="F18" s="908"/>
      <c r="G18" s="908"/>
      <c r="H18" s="15"/>
      <c r="I18" s="339"/>
      <c r="J18" s="339"/>
      <c r="K18" s="9"/>
      <c r="L18" s="339"/>
      <c r="M18" s="912" t="s">
        <v>176</v>
      </c>
      <c r="N18" s="912"/>
      <c r="O18" s="988">
        <f>IF(F25=0,"",V46)</f>
        <v>25399.40359747169</v>
      </c>
      <c r="P18" s="988">
        <f>IF(F25=0,"",V47)</f>
        <v>27136.53622785299</v>
      </c>
      <c r="Q18" s="961" t="str">
        <f>IF(O18="","","kWh/a")</f>
        <v>kWh/a</v>
      </c>
      <c r="R18" s="961"/>
      <c r="S18" s="339"/>
    </row>
    <row r="19" spans="1:24" ht="15" customHeight="1" x14ac:dyDescent="0.3">
      <c r="A19" s="339"/>
      <c r="B19" s="8"/>
      <c r="C19" s="15"/>
      <c r="D19" s="15"/>
      <c r="E19" s="15"/>
      <c r="F19" s="33"/>
      <c r="G19" s="33"/>
      <c r="H19" s="15"/>
      <c r="I19" s="339"/>
      <c r="J19" s="339"/>
      <c r="K19" s="9"/>
      <c r="L19" s="339"/>
      <c r="M19" s="912"/>
      <c r="N19" s="912"/>
      <c r="O19" s="988"/>
      <c r="P19" s="988"/>
      <c r="Q19" s="961"/>
      <c r="R19" s="961"/>
      <c r="S19" s="339"/>
    </row>
    <row r="20" spans="1:24" ht="15" customHeight="1" x14ac:dyDescent="0.3">
      <c r="A20" s="339"/>
      <c r="B20" s="8"/>
      <c r="C20" s="339"/>
      <c r="D20" s="339"/>
      <c r="E20" s="339"/>
      <c r="F20" s="33"/>
      <c r="G20" s="33"/>
      <c r="H20" s="339"/>
      <c r="I20" s="339"/>
      <c r="J20" s="339"/>
      <c r="K20" s="9"/>
      <c r="L20" s="339"/>
      <c r="M20" s="912"/>
      <c r="N20" s="912"/>
      <c r="O20" s="989">
        <f>IF(F25=0,"",W46)</f>
        <v>1269.9701798735848</v>
      </c>
      <c r="P20" s="989">
        <f>IF(F25=0,"",W47)</f>
        <v>1356.8268113926497</v>
      </c>
      <c r="Q20" s="962" t="str">
        <f>IF(F25=0,"","€/a")</f>
        <v>€/a</v>
      </c>
      <c r="R20" s="962"/>
      <c r="S20" s="339"/>
    </row>
    <row r="21" spans="1:24" s="23" customFormat="1" ht="15" customHeight="1" x14ac:dyDescent="0.3">
      <c r="A21" s="26"/>
      <c r="B21" s="31"/>
      <c r="C21" s="869" t="s">
        <v>39</v>
      </c>
      <c r="D21" s="869"/>
      <c r="E21" s="869"/>
      <c r="F21" s="898">
        <v>25</v>
      </c>
      <c r="G21" s="898"/>
      <c r="H21" s="869" t="s">
        <v>23</v>
      </c>
      <c r="I21" s="26"/>
      <c r="J21" s="26"/>
      <c r="K21" s="51"/>
      <c r="L21" s="26"/>
      <c r="M21" s="912"/>
      <c r="N21" s="912"/>
      <c r="O21" s="989"/>
      <c r="P21" s="989"/>
      <c r="Q21" s="962"/>
      <c r="R21" s="962"/>
      <c r="S21" s="26"/>
      <c r="T21" s="22"/>
      <c r="U21" s="22"/>
      <c r="V21" s="22"/>
      <c r="W21" s="22"/>
      <c r="X21" s="22"/>
    </row>
    <row r="22" spans="1:24" ht="15" customHeight="1" x14ac:dyDescent="0.3">
      <c r="A22" s="339"/>
      <c r="B22" s="8"/>
      <c r="C22" s="869"/>
      <c r="D22" s="869"/>
      <c r="E22" s="869"/>
      <c r="F22" s="898"/>
      <c r="G22" s="898"/>
      <c r="H22" s="869"/>
      <c r="I22" s="339"/>
      <c r="J22" s="339"/>
      <c r="K22" s="9"/>
      <c r="L22" s="339"/>
      <c r="M22" s="46"/>
      <c r="N22" s="46"/>
      <c r="O22" s="46"/>
      <c r="P22" s="46"/>
      <c r="Q22" s="46"/>
      <c r="R22" s="46"/>
      <c r="S22" s="339"/>
    </row>
    <row r="23" spans="1:24" ht="15" customHeight="1" x14ac:dyDescent="0.3">
      <c r="A23" s="339"/>
      <c r="B23" s="8"/>
      <c r="C23" s="339"/>
      <c r="D23" s="339"/>
      <c r="E23" s="339"/>
      <c r="F23" s="339"/>
      <c r="G23" s="339"/>
      <c r="H23" s="18"/>
      <c r="I23" s="19"/>
      <c r="J23" s="19"/>
      <c r="K23" s="45"/>
      <c r="L23" s="339"/>
      <c r="M23" s="50"/>
      <c r="N23" s="48"/>
      <c r="O23" s="48"/>
      <c r="P23" s="48"/>
      <c r="Q23" s="48"/>
      <c r="R23" s="48"/>
      <c r="S23" s="339"/>
    </row>
    <row r="24" spans="1:24" ht="15" customHeight="1" x14ac:dyDescent="0.3">
      <c r="A24" s="339"/>
      <c r="B24" s="8"/>
      <c r="C24" s="339"/>
      <c r="D24" s="339"/>
      <c r="E24" s="339"/>
      <c r="F24" s="339"/>
      <c r="G24" s="339"/>
      <c r="H24" s="19"/>
      <c r="I24" s="19"/>
      <c r="J24" s="19"/>
      <c r="K24" s="45"/>
      <c r="L24" s="339"/>
      <c r="M24" s="54"/>
      <c r="N24" s="49"/>
      <c r="O24" s="49"/>
      <c r="P24" s="49"/>
      <c r="Q24" s="48"/>
      <c r="R24" s="48"/>
      <c r="S24" s="339"/>
    </row>
    <row r="25" spans="1:24" ht="15" customHeight="1" x14ac:dyDescent="0.3">
      <c r="A25" s="26"/>
      <c r="B25" s="8"/>
      <c r="C25" s="869" t="s">
        <v>317</v>
      </c>
      <c r="D25" s="869"/>
      <c r="E25" s="869"/>
      <c r="F25" s="898">
        <v>250</v>
      </c>
      <c r="G25" s="898"/>
      <c r="H25" s="869" t="s">
        <v>23</v>
      </c>
      <c r="I25" s="19"/>
      <c r="J25" s="19"/>
      <c r="K25" s="45"/>
      <c r="L25" s="339"/>
      <c r="M25" s="904" t="str">
        <f>O54</f>
        <v>SAFETY-Insulation recommended</v>
      </c>
      <c r="N25" s="904"/>
      <c r="O25" s="904"/>
      <c r="P25" s="904"/>
      <c r="Q25" s="48"/>
      <c r="R25" s="48"/>
      <c r="S25" s="339"/>
    </row>
    <row r="26" spans="1:24" ht="15" customHeight="1" x14ac:dyDescent="0.3">
      <c r="A26" s="339"/>
      <c r="B26" s="8"/>
      <c r="C26" s="869"/>
      <c r="D26" s="869"/>
      <c r="E26" s="869"/>
      <c r="F26" s="898"/>
      <c r="G26" s="898"/>
      <c r="H26" s="869"/>
      <c r="I26" s="19"/>
      <c r="J26" s="19"/>
      <c r="K26" s="45"/>
      <c r="L26" s="339"/>
      <c r="M26" s="904"/>
      <c r="N26" s="904"/>
      <c r="O26" s="904"/>
      <c r="P26" s="904"/>
      <c r="Q26" s="48"/>
      <c r="R26" s="339"/>
      <c r="S26" s="339"/>
    </row>
    <row r="27" spans="1:24" ht="15" customHeight="1" thickBot="1" x14ac:dyDescent="0.35">
      <c r="A27" s="339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39"/>
      <c r="M27" s="904"/>
      <c r="N27" s="904"/>
      <c r="O27" s="904"/>
      <c r="P27" s="904"/>
      <c r="Q27" s="48"/>
      <c r="R27" s="339"/>
      <c r="S27" s="339"/>
    </row>
    <row r="28" spans="1:24" ht="15" customHeight="1" thickTop="1" thickBot="1" x14ac:dyDescent="0.35">
      <c r="A28" s="339"/>
      <c r="B28" s="339"/>
      <c r="C28" s="339"/>
      <c r="D28" s="339"/>
      <c r="E28" s="339"/>
      <c r="F28" s="339"/>
      <c r="G28" s="339"/>
      <c r="H28" s="339"/>
      <c r="I28" s="339"/>
      <c r="J28" s="339"/>
      <c r="K28" s="339"/>
      <c r="L28" s="339"/>
      <c r="M28" s="339"/>
      <c r="N28" s="339"/>
      <c r="O28" s="339"/>
      <c r="P28" s="339"/>
      <c r="Q28" s="339"/>
      <c r="R28" s="339"/>
      <c r="S28" s="339"/>
    </row>
    <row r="29" spans="1:24" ht="15" customHeight="1" thickTop="1" x14ac:dyDescent="0.3">
      <c r="A29" s="339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39"/>
    </row>
    <row r="30" spans="1:24" x14ac:dyDescent="0.3">
      <c r="A30" s="339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339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339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3">
      <c r="A33" s="339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3">
      <c r="A34" s="339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3">
      <c r="A35" s="339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3">
      <c r="A36" s="339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3">
      <c r="A37" s="339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3">
      <c r="A38" s="339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3">
      <c r="A39" s="339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3">
      <c r="A40" s="339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3">
      <c r="A41" s="339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1.8" thickBot="1" x14ac:dyDescent="0.35">
      <c r="A44" s="893" t="s">
        <v>5</v>
      </c>
      <c r="B44" s="894"/>
      <c r="C44" s="341" t="s">
        <v>169</v>
      </c>
      <c r="D44" s="341" t="s">
        <v>112</v>
      </c>
      <c r="E44" s="341" t="s">
        <v>113</v>
      </c>
      <c r="F44" s="88"/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8" t="s">
        <v>420</v>
      </c>
      <c r="M44" s="89" t="s">
        <v>14</v>
      </c>
      <c r="N44" s="118" t="s">
        <v>116</v>
      </c>
      <c r="O44" s="89" t="s">
        <v>114</v>
      </c>
      <c r="P44" s="89" t="s">
        <v>115</v>
      </c>
      <c r="Q44" s="89" t="s">
        <v>27</v>
      </c>
      <c r="R44" s="119" t="s">
        <v>117</v>
      </c>
      <c r="S44" s="84" t="s">
        <v>416</v>
      </c>
      <c r="T44" s="86" t="s">
        <v>94</v>
      </c>
      <c r="U44" s="86" t="s">
        <v>95</v>
      </c>
      <c r="V44" s="966" t="s">
        <v>70</v>
      </c>
      <c r="W44" s="966"/>
      <c r="X44" s="121"/>
      <c r="Y44" s="120"/>
      <c r="Z44" s="120"/>
      <c r="AA44" s="120"/>
      <c r="AB44" s="16"/>
      <c r="AC44" s="16"/>
      <c r="AD44" s="16"/>
    </row>
    <row r="45" spans="1:30" ht="18.600000000000001" thickBot="1" x14ac:dyDescent="0.35">
      <c r="A45" s="956">
        <f>G4</f>
        <v>0</v>
      </c>
      <c r="B45" s="957"/>
      <c r="C45" s="342">
        <f>D13</f>
        <v>200</v>
      </c>
      <c r="D45" s="234">
        <f>VLOOKUP(C45,A75:B114,2,TRUE)</f>
        <v>0.22</v>
      </c>
      <c r="E45" s="592">
        <f>J13</f>
        <v>1</v>
      </c>
      <c r="F45" s="342"/>
      <c r="G45" s="232">
        <f>F25</f>
        <v>250</v>
      </c>
      <c r="H45" s="232">
        <f>F21</f>
        <v>25</v>
      </c>
      <c r="I45" s="236">
        <f>H17</f>
        <v>0.8</v>
      </c>
      <c r="J45" s="232">
        <f>P5</f>
        <v>8760</v>
      </c>
      <c r="K45" s="236">
        <f>+TBi!L27</f>
        <v>0.05</v>
      </c>
      <c r="L45" s="232">
        <f>I13</f>
        <v>1</v>
      </c>
      <c r="M45" s="131">
        <f>IF(G45=0,"",I45*D60*(((G45+273)^4-(H45+273)^4)/(G45-H45)))</f>
        <v>13.494357214233847</v>
      </c>
      <c r="N45" s="167">
        <f>D45^3*ABS(G45-H45)</f>
        <v>2.3957999999999999</v>
      </c>
      <c r="O45" s="132">
        <f>IF(G45=0,"",1.25*(ABS(G45-H45)/D45)^0.25)</f>
        <v>7.0688696335302579</v>
      </c>
      <c r="P45" s="132">
        <f>1.21*(ABS(G45-H45))^0.33</f>
        <v>7.2277912555274071</v>
      </c>
      <c r="Q45" s="132">
        <f>IF(N45&lt;10,O45+M45,P45+M45)</f>
        <v>20.563226847764106</v>
      </c>
      <c r="R45" s="168">
        <f>1/(D59*Q45*D45)</f>
        <v>7.0361512146966856E-2</v>
      </c>
      <c r="S45" s="133">
        <f>IF(G45=0,"",ABS(G45-H45)/R45)</f>
        <v>3197.7709565143177</v>
      </c>
      <c r="T45" s="134">
        <f>IF(G45="","",L45*S45*J45*E45/1000)</f>
        <v>28012.473579065423</v>
      </c>
      <c r="U45" s="182">
        <f>IF(G45=0,"",T45*K45)</f>
        <v>1400.6236789532713</v>
      </c>
      <c r="V45" s="127" t="s">
        <v>71</v>
      </c>
      <c r="W45" s="127" t="s">
        <v>24</v>
      </c>
      <c r="X45" s="122"/>
      <c r="Y45" s="123"/>
      <c r="Z45" s="123"/>
      <c r="AA45" s="123"/>
      <c r="AB45" s="16"/>
      <c r="AC45" s="16"/>
      <c r="AD45" s="16"/>
    </row>
    <row r="46" spans="1:30" ht="15" thickBot="1" x14ac:dyDescent="0.35">
      <c r="A46" s="956" t="s">
        <v>323</v>
      </c>
      <c r="B46" s="957"/>
      <c r="C46" s="342"/>
      <c r="D46" s="234">
        <f>E53</f>
        <v>0.32</v>
      </c>
      <c r="E46" s="592">
        <f t="shared" ref="E46:K47" si="0">E45</f>
        <v>1</v>
      </c>
      <c r="F46" s="342"/>
      <c r="G46" s="235">
        <f t="shared" si="0"/>
        <v>250</v>
      </c>
      <c r="H46" s="232">
        <f t="shared" si="0"/>
        <v>25</v>
      </c>
      <c r="I46" s="236">
        <f t="shared" si="0"/>
        <v>0.8</v>
      </c>
      <c r="J46" s="232">
        <f t="shared" si="0"/>
        <v>8760</v>
      </c>
      <c r="K46" s="236">
        <f t="shared" si="0"/>
        <v>0.05</v>
      </c>
      <c r="L46" s="232">
        <f t="shared" ref="L46" si="1">L45</f>
        <v>1</v>
      </c>
      <c r="M46" s="131">
        <f>IF(G46=0,"",I46*D60*(((G46+273)^4-(H46+273)^4)/(G46-H46)))</f>
        <v>13.494357214233847</v>
      </c>
      <c r="N46" s="167">
        <f>D46^3*ABS(G46-H46)</f>
        <v>7.3728000000000016</v>
      </c>
      <c r="O46" s="132">
        <f>IF(G46=0,"",1.25*(ABS(G46-H46)/D46)^0.25)</f>
        <v>6.436772324709743</v>
      </c>
      <c r="P46" s="132">
        <f>1.21*(ABS(G46-H46))^0.33</f>
        <v>7.2277912555274071</v>
      </c>
      <c r="Q46" s="132">
        <f>IF(N46&lt;10,O46+M46,P46+M46)</f>
        <v>19.931129538943591</v>
      </c>
      <c r="R46" s="168">
        <f>1/(D59*Q46*D46)</f>
        <v>4.9907661595490434E-2</v>
      </c>
      <c r="S46" s="133">
        <f>ABS(G45-H45)/(E54+R46)</f>
        <v>298.2956599992844</v>
      </c>
      <c r="T46" s="238">
        <f>IF(G46=0,"",L46*S46*J46*E46/1000)</f>
        <v>2613.0699815937314</v>
      </c>
      <c r="U46" s="239">
        <f>IF(G46=0,"",T46*K46)</f>
        <v>130.65349907968658</v>
      </c>
      <c r="V46" s="85">
        <f>T45-T46</f>
        <v>25399.40359747169</v>
      </c>
      <c r="W46" s="181">
        <f>U45-U46</f>
        <v>1269.9701798735848</v>
      </c>
      <c r="X46" s="122"/>
      <c r="Y46" s="123"/>
      <c r="Z46" s="123"/>
      <c r="AA46" s="123"/>
      <c r="AB46" s="16"/>
      <c r="AC46" s="16"/>
      <c r="AD46" s="16"/>
    </row>
    <row r="47" spans="1:30" x14ac:dyDescent="0.3">
      <c r="A47" s="956" t="s">
        <v>324</v>
      </c>
      <c r="B47" s="957"/>
      <c r="C47" s="396"/>
      <c r="D47" s="234">
        <f>F53</f>
        <v>0.72</v>
      </c>
      <c r="E47" s="592">
        <f t="shared" si="0"/>
        <v>1</v>
      </c>
      <c r="F47" s="396"/>
      <c r="G47" s="235">
        <f t="shared" si="0"/>
        <v>250</v>
      </c>
      <c r="H47" s="232">
        <f t="shared" si="0"/>
        <v>25</v>
      </c>
      <c r="I47" s="236">
        <f t="shared" si="0"/>
        <v>0.8</v>
      </c>
      <c r="J47" s="232">
        <f t="shared" si="0"/>
        <v>8760</v>
      </c>
      <c r="K47" s="236">
        <f t="shared" si="0"/>
        <v>0.05</v>
      </c>
      <c r="L47" s="232">
        <f t="shared" ref="L47" si="2">L46</f>
        <v>1</v>
      </c>
      <c r="M47" s="131">
        <f>IF(G47=0,"",I47*$D$60*(((G47+273)^4-(H47+273)^4)/(G47-H47)))</f>
        <v>13.494357214233847</v>
      </c>
      <c r="N47" s="167">
        <f>D47^3*ABS(G47-H47)</f>
        <v>83.980799999999988</v>
      </c>
      <c r="O47" s="132">
        <f>IF(G47=0,"",1.25*(ABS(G47-H47)/D47)^0.25)</f>
        <v>5.2556025953357164</v>
      </c>
      <c r="P47" s="132">
        <f>1.21*(ABS(G47-H47))^0.33</f>
        <v>7.2277912555274071</v>
      </c>
      <c r="Q47" s="132">
        <f>IF(N47&lt;10,O47+M47,P47+M47)</f>
        <v>20.722148469761255</v>
      </c>
      <c r="R47" s="168">
        <f>1/(D59*Q47*D47)</f>
        <v>2.1334468816129371E-2</v>
      </c>
      <c r="S47" s="133">
        <f>ABS(G47-H47)/(F54+R47)</f>
        <v>99.992848311921463</v>
      </c>
      <c r="T47" s="238">
        <f>IF(G47=0,"",L47*S47*J47*E47/1000)</f>
        <v>875.93735121243208</v>
      </c>
      <c r="U47" s="239">
        <f>IF(G47=0,"",T47*K47)</f>
        <v>43.796867560621607</v>
      </c>
      <c r="V47" s="430">
        <f>T45-T47</f>
        <v>27136.53622785299</v>
      </c>
      <c r="W47" s="430">
        <f>U45-U47</f>
        <v>1356.8268113926497</v>
      </c>
      <c r="X47" s="122"/>
      <c r="Y47" s="123"/>
      <c r="Z47" s="123"/>
      <c r="AA47" s="123"/>
      <c r="AB47" s="16"/>
      <c r="AC47" s="16"/>
      <c r="AD47" s="16"/>
    </row>
    <row r="48" spans="1:30" s="16" customFormat="1" ht="18.600000000000001" thickBot="1" x14ac:dyDescent="0.35">
      <c r="A48" s="62"/>
      <c r="B48" s="62"/>
      <c r="C48" s="62"/>
      <c r="D48" s="62"/>
      <c r="E48" s="63" t="s">
        <v>321</v>
      </c>
      <c r="F48" s="63" t="s">
        <v>322</v>
      </c>
      <c r="G48" s="63"/>
      <c r="H48" s="63"/>
      <c r="I48" s="63"/>
      <c r="J48" s="64"/>
      <c r="K48" s="65"/>
      <c r="L48" s="64"/>
      <c r="M48" s="66"/>
      <c r="N48" s="135"/>
      <c r="O48" s="135"/>
      <c r="P48" s="959"/>
      <c r="Q48" s="959"/>
      <c r="R48" s="37"/>
      <c r="S48" s="37"/>
      <c r="T48" s="37"/>
    </row>
    <row r="49" spans="1:22" s="16" customFormat="1" ht="18.600000000000001" thickBot="1" x14ac:dyDescent="0.35">
      <c r="A49" s="68"/>
      <c r="B49" s="62"/>
      <c r="C49" s="990" t="s">
        <v>61</v>
      </c>
      <c r="D49" s="991"/>
      <c r="E49" s="282">
        <f>(G45+(H45+35))/2</f>
        <v>155</v>
      </c>
      <c r="F49" s="282">
        <f>(G45+(H45+20))/2</f>
        <v>147.5</v>
      </c>
      <c r="G49" s="63"/>
      <c r="H49" s="63"/>
      <c r="I49" s="63"/>
      <c r="J49" s="64"/>
      <c r="K49" s="65"/>
      <c r="L49" s="81"/>
      <c r="M49" s="81"/>
      <c r="N49" s="81"/>
      <c r="O49" s="81"/>
      <c r="P49" s="343"/>
      <c r="Q49" s="343"/>
      <c r="R49" s="37"/>
      <c r="S49" s="37"/>
      <c r="T49" s="37"/>
    </row>
    <row r="50" spans="1:22" s="16" customFormat="1" ht="16.2" customHeight="1" thickBot="1" x14ac:dyDescent="0.35">
      <c r="A50" s="62"/>
      <c r="B50" s="62"/>
      <c r="C50" s="992" t="s">
        <v>62</v>
      </c>
      <c r="D50" s="993"/>
      <c r="E50" s="283">
        <f>C63+C64*E49+C65*E49^2+C66*E49^3</f>
        <v>5.6441488987500003E-2</v>
      </c>
      <c r="F50" s="283">
        <f>C63+C64*E49+C65*E49^2+C66*E49^3</f>
        <v>5.6441488987500003E-2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265</v>
      </c>
    </row>
    <row r="51" spans="1:22" s="16" customFormat="1" ht="16.8" customHeight="1" thickBot="1" x14ac:dyDescent="0.35">
      <c r="A51" s="62"/>
      <c r="B51" s="62"/>
      <c r="C51" s="994" t="s">
        <v>66</v>
      </c>
      <c r="D51" s="943"/>
      <c r="E51" s="281">
        <f>E50*C62</f>
        <v>8.4662233481250002E-2</v>
      </c>
      <c r="F51" s="281">
        <f>E51</f>
        <v>8.4662233481250002E-2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" thickBot="1" x14ac:dyDescent="0.35">
      <c r="A52" s="62"/>
      <c r="B52" s="62"/>
      <c r="C52" s="978" t="s">
        <v>64</v>
      </c>
      <c r="D52" s="979"/>
      <c r="E52" s="148">
        <f>IF((G45-H45)&lt;F63,G63/1000,IF((G45-H45)&lt;F64,G64/1000,IF((G45-H45)&lt;F65,(G65/1000),G66/1000)))</f>
        <v>0.05</v>
      </c>
      <c r="F52" s="429">
        <f>IF((G45-H45)&lt;F63,H63/1000,IF((G45-H45)&lt;F64,H64/1000,IF((G45-H45)&lt;F65,(H65/1000),H66/1000)))</f>
        <v>0.25</v>
      </c>
      <c r="G52" s="63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" thickBot="1" x14ac:dyDescent="0.35">
      <c r="A53" s="62"/>
      <c r="B53" s="62"/>
      <c r="C53" s="978" t="s">
        <v>179</v>
      </c>
      <c r="D53" s="979" t="s">
        <v>172</v>
      </c>
      <c r="E53" s="148">
        <f>D45+2*E52</f>
        <v>0.32</v>
      </c>
      <c r="F53" s="429">
        <f>D45+2*F52</f>
        <v>0.72</v>
      </c>
      <c r="G53" s="63" t="s">
        <v>56</v>
      </c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" thickBot="1" x14ac:dyDescent="0.35">
      <c r="A54" s="62"/>
      <c r="B54" s="62"/>
      <c r="C54" s="978" t="s">
        <v>173</v>
      </c>
      <c r="D54" s="979"/>
      <c r="E54" s="152">
        <f>LN(E53/D45)/(2*D59*E51)</f>
        <v>0.70437753316912588</v>
      </c>
      <c r="F54" s="152">
        <f>LN(F53/D45)/(2*D59*F51)</f>
        <v>2.2288264556744553</v>
      </c>
      <c r="G54" s="63"/>
      <c r="H54" s="63"/>
      <c r="I54" s="63"/>
      <c r="J54" s="64"/>
      <c r="K54" s="65"/>
      <c r="L54" s="64"/>
      <c r="M54" s="66"/>
      <c r="N54" s="129"/>
      <c r="O54" s="967" t="str">
        <f>IF(E55&gt;S46,IF(G45&gt;D71,"SAFETY-Insulation recommended","Insulation recommended"),"Insulation_ok")</f>
        <v>SAFETY-Insulation recommended</v>
      </c>
      <c r="P54" s="968"/>
      <c r="Q54" s="968"/>
      <c r="R54" s="968"/>
      <c r="S54" s="968"/>
      <c r="T54" s="969"/>
    </row>
    <row r="55" spans="1:22" s="16" customFormat="1" ht="15" thickBot="1" x14ac:dyDescent="0.35">
      <c r="A55" s="62"/>
      <c r="B55" s="62"/>
      <c r="C55" s="978" t="s">
        <v>149</v>
      </c>
      <c r="D55" s="979"/>
      <c r="E55" s="158">
        <f>S45-(10000*D70*E56/J45/K45)</f>
        <v>3083.0093126787015</v>
      </c>
      <c r="F55" s="158"/>
      <c r="G55" s="63"/>
      <c r="H55" s="63"/>
      <c r="I55" s="63"/>
      <c r="J55" s="64"/>
      <c r="K55" s="65"/>
      <c r="L55" s="64"/>
      <c r="M55" s="66"/>
      <c r="N55" s="129"/>
      <c r="O55" s="970"/>
      <c r="P55" s="971"/>
      <c r="Q55" s="971"/>
      <c r="R55" s="971"/>
      <c r="S55" s="971"/>
      <c r="T55" s="972"/>
    </row>
    <row r="56" spans="1:22" s="16" customFormat="1" ht="15" thickBot="1" x14ac:dyDescent="0.35">
      <c r="A56" s="62"/>
      <c r="B56" s="62"/>
      <c r="C56" s="978" t="s">
        <v>141</v>
      </c>
      <c r="D56" s="979"/>
      <c r="E56" s="152">
        <f>D59*(E53)</f>
        <v>1.005312</v>
      </c>
      <c r="F56" s="152"/>
      <c r="G56" s="63"/>
      <c r="H56" s="63"/>
      <c r="I56" s="63"/>
      <c r="J56" s="64"/>
      <c r="K56" s="65"/>
      <c r="L56" s="64"/>
      <c r="M56" s="66"/>
      <c r="N56" s="129"/>
      <c r="O56" s="973"/>
      <c r="P56" s="974"/>
      <c r="Q56" s="974"/>
      <c r="R56" s="974"/>
      <c r="S56" s="974"/>
      <c r="T56" s="975"/>
    </row>
    <row r="57" spans="1:22" s="16" customFormat="1" x14ac:dyDescent="0.3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" thickBot="1" x14ac:dyDescent="0.35">
      <c r="A58" s="947" t="s">
        <v>119</v>
      </c>
      <c r="B58" s="947"/>
      <c r="C58" s="947"/>
      <c r="D58" s="947"/>
      <c r="E58" s="947"/>
      <c r="F58" s="947"/>
      <c r="G58" s="947"/>
      <c r="H58" s="947"/>
      <c r="I58" s="947"/>
      <c r="J58" s="947"/>
      <c r="K58" s="947"/>
      <c r="L58" s="947"/>
      <c r="M58" s="947"/>
      <c r="N58" s="947"/>
      <c r="O58" s="947"/>
      <c r="P58" s="947"/>
      <c r="Q58" s="947"/>
      <c r="R58" s="947"/>
      <c r="S58" s="947"/>
      <c r="T58" s="947"/>
      <c r="U58" s="16" t="s">
        <v>92</v>
      </c>
    </row>
    <row r="59" spans="1:22" s="2" customFormat="1" ht="15" thickBot="1" x14ac:dyDescent="0.35">
      <c r="A59" s="948" t="s">
        <v>174</v>
      </c>
      <c r="B59" s="949"/>
      <c r="C59" s="949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57"/>
      <c r="O59" s="157"/>
      <c r="P59" s="143"/>
      <c r="Q59" s="143"/>
      <c r="R59" s="144"/>
      <c r="S59" s="144"/>
      <c r="T59" s="144"/>
    </row>
    <row r="60" spans="1:22" s="2" customFormat="1" ht="15" thickBot="1" x14ac:dyDescent="0.35">
      <c r="A60" s="950" t="s">
        <v>90</v>
      </c>
      <c r="B60" s="949"/>
      <c r="C60" s="949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2" s="2" customFormat="1" ht="15" thickBot="1" x14ac:dyDescent="0.35">
      <c r="A61" s="169"/>
      <c r="B61" s="951" t="s">
        <v>120</v>
      </c>
      <c r="C61" s="952"/>
      <c r="D61" s="169"/>
      <c r="E61" s="953" t="s">
        <v>122</v>
      </c>
      <c r="F61" s="954"/>
      <c r="G61" s="955"/>
      <c r="H61" s="63"/>
      <c r="I61" s="138"/>
      <c r="J61" s="139"/>
      <c r="K61" s="140"/>
      <c r="L61" s="139"/>
      <c r="M61" s="141"/>
      <c r="N61" s="157"/>
      <c r="O61" s="157"/>
      <c r="P61" s="143"/>
      <c r="Q61" s="143"/>
      <c r="R61" s="144"/>
      <c r="S61" s="144"/>
      <c r="T61" s="144"/>
    </row>
    <row r="62" spans="1:22" s="2" customFormat="1" ht="15" thickBot="1" x14ac:dyDescent="0.35">
      <c r="A62" s="350"/>
      <c r="B62" s="171" t="s">
        <v>63</v>
      </c>
      <c r="C62" s="237">
        <v>1.5</v>
      </c>
      <c r="D62" s="63"/>
      <c r="E62" s="524"/>
      <c r="F62" s="525" t="s">
        <v>75</v>
      </c>
      <c r="G62" s="526" t="s">
        <v>319</v>
      </c>
      <c r="H62" s="526" t="s">
        <v>320</v>
      </c>
      <c r="I62" s="139"/>
      <c r="J62" s="140"/>
      <c r="K62" s="139"/>
      <c r="L62" s="141"/>
      <c r="M62" s="157"/>
      <c r="N62" s="157"/>
      <c r="O62" s="143"/>
      <c r="P62" s="143"/>
      <c r="Q62" s="144"/>
      <c r="R62" s="144"/>
      <c r="S62" s="144"/>
      <c r="T62" s="145"/>
    </row>
    <row r="63" spans="1:22" s="2" customFormat="1" x14ac:dyDescent="0.3">
      <c r="A63" s="350"/>
      <c r="B63" s="172" t="s">
        <v>57</v>
      </c>
      <c r="C63" s="173">
        <f>0.0338</f>
        <v>3.3799999999999997E-2</v>
      </c>
      <c r="D63" s="63"/>
      <c r="E63" s="527" t="s">
        <v>91</v>
      </c>
      <c r="F63" s="528">
        <v>80</v>
      </c>
      <c r="G63" s="529">
        <v>20</v>
      </c>
      <c r="H63" s="529">
        <v>100</v>
      </c>
      <c r="I63" s="139"/>
      <c r="J63" s="140"/>
      <c r="K63" s="139"/>
      <c r="L63" s="141"/>
      <c r="M63" s="157"/>
      <c r="N63" s="157"/>
      <c r="O63" s="143"/>
      <c r="P63" s="143"/>
      <c r="Q63" s="144"/>
      <c r="R63" s="144"/>
      <c r="S63" s="144"/>
      <c r="T63" s="145"/>
    </row>
    <row r="64" spans="1:22" s="2" customFormat="1" x14ac:dyDescent="0.3">
      <c r="A64" s="350"/>
      <c r="B64" s="172" t="s">
        <v>58</v>
      </c>
      <c r="C64" s="173">
        <v>1.1730000000000001E-4</v>
      </c>
      <c r="D64" s="63"/>
      <c r="E64" s="527" t="s">
        <v>91</v>
      </c>
      <c r="F64" s="528">
        <v>150</v>
      </c>
      <c r="G64" s="529">
        <v>30</v>
      </c>
      <c r="H64" s="529">
        <v>180</v>
      </c>
      <c r="I64" s="139"/>
      <c r="J64" s="140"/>
      <c r="K64" s="139"/>
      <c r="L64" s="141"/>
      <c r="M64" s="157"/>
      <c r="N64" s="157"/>
      <c r="O64" s="143"/>
      <c r="P64" s="143"/>
      <c r="Q64" s="144"/>
      <c r="R64" s="144"/>
      <c r="S64" s="144"/>
      <c r="T64" s="145"/>
    </row>
    <row r="65" spans="1:24" s="2" customFormat="1" x14ac:dyDescent="0.3">
      <c r="A65" s="350"/>
      <c r="B65" s="172" t="s">
        <v>59</v>
      </c>
      <c r="C65" s="173">
        <v>7.5450000000000004E-8</v>
      </c>
      <c r="D65" s="63"/>
      <c r="E65" s="527" t="s">
        <v>91</v>
      </c>
      <c r="F65" s="528">
        <v>250</v>
      </c>
      <c r="G65" s="529">
        <v>50</v>
      </c>
      <c r="H65" s="529">
        <v>250</v>
      </c>
      <c r="I65" s="139"/>
      <c r="J65" s="140"/>
      <c r="K65" s="139"/>
      <c r="L65" s="141"/>
      <c r="M65" s="157"/>
      <c r="N65" s="157"/>
      <c r="O65" s="143"/>
      <c r="P65" s="143"/>
      <c r="Q65" s="144"/>
      <c r="R65" s="144"/>
      <c r="S65" s="144"/>
      <c r="T65" s="145"/>
    </row>
    <row r="66" spans="1:24" customFormat="1" ht="15" thickBot="1" x14ac:dyDescent="0.35">
      <c r="A66" s="62"/>
      <c r="B66" s="174" t="s">
        <v>60</v>
      </c>
      <c r="C66" s="175">
        <v>7.109E-10</v>
      </c>
      <c r="D66" s="63"/>
      <c r="E66" s="527" t="s">
        <v>91</v>
      </c>
      <c r="F66" s="528"/>
      <c r="G66" s="529">
        <v>80</v>
      </c>
      <c r="H66" s="529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3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916" t="s">
        <v>153</v>
      </c>
      <c r="P67" s="916"/>
      <c r="Q67" s="916"/>
      <c r="R67" s="916"/>
      <c r="S67" s="916"/>
      <c r="T67" s="916"/>
    </row>
    <row r="68" spans="1:24" customFormat="1" ht="15" thickBot="1" x14ac:dyDescent="0.35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906" t="s">
        <v>154</v>
      </c>
      <c r="P68" s="906"/>
      <c r="Q68" s="906"/>
      <c r="R68" s="242">
        <v>80</v>
      </c>
      <c r="S68" s="204" t="s">
        <v>72</v>
      </c>
      <c r="T68" s="205"/>
    </row>
    <row r="69" spans="1:24" customFormat="1" ht="15" thickBot="1" x14ac:dyDescent="0.35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906" t="s">
        <v>155</v>
      </c>
      <c r="P69" s="906"/>
      <c r="Q69" s="906"/>
      <c r="R69" s="242">
        <v>250</v>
      </c>
      <c r="S69" s="204" t="s">
        <v>72</v>
      </c>
      <c r="T69" s="205"/>
    </row>
    <row r="70" spans="1:24" customFormat="1" ht="15" thickBot="1" x14ac:dyDescent="0.35">
      <c r="A70" s="944" t="s">
        <v>159</v>
      </c>
      <c r="B70" s="945"/>
      <c r="C70" s="946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906" t="s">
        <v>74</v>
      </c>
      <c r="P70" s="906"/>
      <c r="Q70" s="906"/>
      <c r="R70" s="242">
        <v>5</v>
      </c>
      <c r="S70" s="204" t="s">
        <v>73</v>
      </c>
      <c r="T70" s="205"/>
      <c r="U70" t="s">
        <v>124</v>
      </c>
    </row>
    <row r="71" spans="1:24" customFormat="1" ht="15" thickBot="1" x14ac:dyDescent="0.35">
      <c r="A71" s="944" t="s">
        <v>96</v>
      </c>
      <c r="B71" s="945"/>
      <c r="C71" s="946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906" t="s">
        <v>157</v>
      </c>
      <c r="P71" s="906"/>
      <c r="Q71" s="906"/>
      <c r="R71" s="309">
        <f>0.1*R68/R70</f>
        <v>1.6</v>
      </c>
      <c r="S71" s="204"/>
      <c r="T71" s="205"/>
      <c r="U71" t="s">
        <v>266</v>
      </c>
    </row>
    <row r="72" spans="1:24" customFormat="1" x14ac:dyDescent="0.3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906" t="s">
        <v>158</v>
      </c>
      <c r="P72" s="906"/>
      <c r="Q72" s="906"/>
      <c r="R72" s="244">
        <f>0.1*R69/R70</f>
        <v>5</v>
      </c>
      <c r="S72" s="206"/>
      <c r="T72" s="205"/>
    </row>
    <row r="74" spans="1:24" x14ac:dyDescent="0.3">
      <c r="A74" s="286" t="s">
        <v>169</v>
      </c>
      <c r="B74" s="286" t="s">
        <v>54</v>
      </c>
    </row>
    <row r="75" spans="1:24" x14ac:dyDescent="0.3">
      <c r="A75" s="287">
        <v>10</v>
      </c>
      <c r="B75" s="288">
        <v>1.7999999999999999E-2</v>
      </c>
      <c r="S75" s="16"/>
      <c r="X75" s="17"/>
    </row>
    <row r="76" spans="1:24" x14ac:dyDescent="0.3">
      <c r="A76" s="287">
        <v>15</v>
      </c>
      <c r="B76" s="288">
        <v>2.1999999999999999E-2</v>
      </c>
      <c r="S76" s="16"/>
      <c r="X76" s="17"/>
    </row>
    <row r="77" spans="1:24" x14ac:dyDescent="0.3">
      <c r="A77" s="287">
        <v>20</v>
      </c>
      <c r="B77" s="288">
        <v>2.7E-2</v>
      </c>
      <c r="S77" s="16"/>
      <c r="X77" s="17"/>
    </row>
    <row r="78" spans="1:24" x14ac:dyDescent="0.3">
      <c r="A78" s="287">
        <v>25</v>
      </c>
      <c r="B78" s="288">
        <v>3.4000000000000002E-2</v>
      </c>
      <c r="S78" s="16"/>
      <c r="X78" s="17"/>
    </row>
    <row r="79" spans="1:24" x14ac:dyDescent="0.3">
      <c r="A79" s="287">
        <v>32</v>
      </c>
      <c r="B79" s="288">
        <v>4.2999999999999997E-2</v>
      </c>
      <c r="S79" s="16"/>
      <c r="X79" s="17"/>
    </row>
    <row r="80" spans="1:24" x14ac:dyDescent="0.3">
      <c r="A80" s="287">
        <v>40</v>
      </c>
      <c r="B80" s="288">
        <v>4.9000000000000002E-2</v>
      </c>
      <c r="S80" s="16"/>
      <c r="X80" s="17"/>
    </row>
    <row r="81" spans="1:24" x14ac:dyDescent="0.3">
      <c r="A81" s="287">
        <v>50</v>
      </c>
      <c r="B81" s="288">
        <v>6.0999999999999999E-2</v>
      </c>
      <c r="S81" s="16"/>
      <c r="X81" s="17"/>
    </row>
    <row r="82" spans="1:24" x14ac:dyDescent="0.3">
      <c r="A82" s="287">
        <v>60</v>
      </c>
      <c r="B82" s="288">
        <v>7.1999999999999995E-2</v>
      </c>
      <c r="S82" s="16"/>
      <c r="X82" s="17"/>
    </row>
    <row r="83" spans="1:24" x14ac:dyDescent="0.3">
      <c r="A83" s="287">
        <v>65</v>
      </c>
      <c r="B83" s="288">
        <v>7.6999999999999999E-2</v>
      </c>
      <c r="S83" s="16"/>
      <c r="X83" s="17"/>
    </row>
    <row r="84" spans="1:24" x14ac:dyDescent="0.3">
      <c r="A84" s="287">
        <v>80</v>
      </c>
      <c r="B84" s="288">
        <v>8.8999999999999996E-2</v>
      </c>
      <c r="S84" s="16"/>
      <c r="X84" s="17"/>
    </row>
    <row r="85" spans="1:24" x14ac:dyDescent="0.3">
      <c r="A85" s="287">
        <v>100</v>
      </c>
      <c r="B85" s="288">
        <v>0.115</v>
      </c>
      <c r="S85" s="16"/>
      <c r="X85" s="17"/>
    </row>
    <row r="86" spans="1:24" x14ac:dyDescent="0.3">
      <c r="A86" s="287">
        <v>125</v>
      </c>
      <c r="B86" s="288">
        <v>0.14099999999999999</v>
      </c>
      <c r="S86" s="16"/>
      <c r="X86" s="17"/>
    </row>
    <row r="87" spans="1:24" x14ac:dyDescent="0.3">
      <c r="A87" s="287">
        <v>150</v>
      </c>
      <c r="B87" s="288">
        <v>0.16900000000000001</v>
      </c>
      <c r="S87" s="16"/>
      <c r="X87" s="17"/>
    </row>
    <row r="88" spans="1:24" x14ac:dyDescent="0.3">
      <c r="A88" s="287">
        <v>200</v>
      </c>
      <c r="B88" s="288">
        <v>0.22</v>
      </c>
      <c r="S88" s="16"/>
      <c r="X88" s="17"/>
    </row>
    <row r="89" spans="1:24" x14ac:dyDescent="0.3">
      <c r="A89" s="287">
        <v>250</v>
      </c>
      <c r="B89" s="288">
        <v>0.27300000000000002</v>
      </c>
      <c r="S89" s="16"/>
      <c r="X89" s="17"/>
    </row>
    <row r="90" spans="1:24" x14ac:dyDescent="0.3">
      <c r="A90" s="287">
        <v>300</v>
      </c>
      <c r="B90" s="288">
        <v>0.32400000000000001</v>
      </c>
      <c r="S90" s="16"/>
      <c r="X90" s="17"/>
    </row>
    <row r="91" spans="1:24" x14ac:dyDescent="0.3">
      <c r="A91" s="287">
        <v>350</v>
      </c>
      <c r="B91" s="288">
        <v>0.35599999999999998</v>
      </c>
      <c r="S91" s="16"/>
      <c r="X91" s="17"/>
    </row>
    <row r="92" spans="1:24" x14ac:dyDescent="0.3">
      <c r="A92" s="287">
        <v>400</v>
      </c>
      <c r="B92" s="288">
        <v>0.40699999999999997</v>
      </c>
      <c r="S92" s="16"/>
      <c r="X92" s="17"/>
    </row>
    <row r="93" spans="1:24" x14ac:dyDescent="0.3">
      <c r="A93" s="287">
        <v>450</v>
      </c>
      <c r="B93" s="288">
        <v>0.45800000000000002</v>
      </c>
      <c r="S93" s="16"/>
      <c r="X93" s="17"/>
    </row>
    <row r="94" spans="1:24" x14ac:dyDescent="0.3">
      <c r="A94" s="287">
        <v>500</v>
      </c>
      <c r="B94" s="288">
        <v>0.50800000000000001</v>
      </c>
      <c r="S94" s="16"/>
      <c r="X94" s="17"/>
    </row>
    <row r="95" spans="1:24" x14ac:dyDescent="0.3">
      <c r="A95" s="287">
        <v>600</v>
      </c>
      <c r="B95" s="288">
        <v>0.61</v>
      </c>
      <c r="S95" s="16"/>
      <c r="X95" s="17"/>
    </row>
    <row r="96" spans="1:24" x14ac:dyDescent="0.3">
      <c r="A96" s="287">
        <v>700</v>
      </c>
      <c r="B96" s="288">
        <v>0.71199999999999997</v>
      </c>
      <c r="S96" s="16"/>
      <c r="X96" s="17"/>
    </row>
    <row r="97" spans="1:24" x14ac:dyDescent="0.3">
      <c r="A97" s="287">
        <v>800</v>
      </c>
      <c r="B97" s="288">
        <v>0.81299999999999994</v>
      </c>
      <c r="S97" s="16"/>
      <c r="X97" s="17"/>
    </row>
    <row r="98" spans="1:24" x14ac:dyDescent="0.3">
      <c r="A98" s="287">
        <v>900</v>
      </c>
      <c r="B98" s="288">
        <v>0.91500000000000004</v>
      </c>
      <c r="S98" s="16"/>
      <c r="X98" s="17"/>
    </row>
    <row r="99" spans="1:24" x14ac:dyDescent="0.3">
      <c r="A99" s="287">
        <v>1000</v>
      </c>
      <c r="B99" s="288">
        <v>1.016</v>
      </c>
      <c r="S99" s="16"/>
      <c r="X99" s="17"/>
    </row>
    <row r="100" spans="1:24" x14ac:dyDescent="0.3">
      <c r="A100" s="287">
        <v>1100</v>
      </c>
      <c r="B100" s="288">
        <v>1.1200000000000001</v>
      </c>
      <c r="S100" s="16"/>
      <c r="X100" s="17"/>
    </row>
    <row r="101" spans="1:24" x14ac:dyDescent="0.3">
      <c r="A101" s="287">
        <v>1200</v>
      </c>
      <c r="B101" s="288">
        <v>1.22</v>
      </c>
      <c r="S101" s="16"/>
      <c r="X101" s="17"/>
    </row>
    <row r="102" spans="1:24" x14ac:dyDescent="0.3">
      <c r="A102" s="287">
        <v>1400</v>
      </c>
      <c r="B102" s="288">
        <v>1.42</v>
      </c>
      <c r="S102" s="16"/>
      <c r="X102" s="17"/>
    </row>
    <row r="103" spans="1:24" x14ac:dyDescent="0.3">
      <c r="A103" s="287">
        <v>1500</v>
      </c>
      <c r="B103" s="288">
        <v>1.52</v>
      </c>
      <c r="S103" s="16"/>
      <c r="X103" s="17"/>
    </row>
    <row r="104" spans="1:24" x14ac:dyDescent="0.3">
      <c r="A104" s="287">
        <v>1600</v>
      </c>
      <c r="B104" s="288">
        <v>1.62</v>
      </c>
      <c r="S104" s="16"/>
      <c r="X104" s="17"/>
    </row>
    <row r="105" spans="1:24" x14ac:dyDescent="0.3">
      <c r="A105" s="287">
        <v>1800</v>
      </c>
      <c r="B105" s="288">
        <v>1.82</v>
      </c>
      <c r="S105" s="16"/>
      <c r="X105" s="17"/>
    </row>
    <row r="106" spans="1:24" x14ac:dyDescent="0.3">
      <c r="A106" s="287">
        <v>2000</v>
      </c>
      <c r="B106" s="288">
        <v>2.02</v>
      </c>
      <c r="S106" s="16"/>
      <c r="X106" s="17"/>
    </row>
    <row r="107" spans="1:24" x14ac:dyDescent="0.3">
      <c r="A107" s="287">
        <v>2000</v>
      </c>
      <c r="B107" s="288">
        <v>2.02</v>
      </c>
      <c r="S107" s="16"/>
      <c r="X107" s="17"/>
    </row>
    <row r="108" spans="1:24" x14ac:dyDescent="0.3">
      <c r="A108" s="287">
        <v>2200</v>
      </c>
      <c r="B108" s="288">
        <v>2.2200000000000002</v>
      </c>
      <c r="S108" s="16"/>
      <c r="X108" s="17"/>
    </row>
    <row r="109" spans="1:24" x14ac:dyDescent="0.3">
      <c r="A109" s="287">
        <v>2400</v>
      </c>
      <c r="B109" s="288">
        <v>2.42</v>
      </c>
      <c r="S109" s="16"/>
      <c r="X109" s="17"/>
    </row>
    <row r="110" spans="1:24" x14ac:dyDescent="0.3">
      <c r="A110" s="287">
        <v>2600</v>
      </c>
      <c r="B110" s="288">
        <v>2.62</v>
      </c>
      <c r="S110" s="16"/>
      <c r="X110" s="17"/>
    </row>
    <row r="111" spans="1:24" x14ac:dyDescent="0.3">
      <c r="A111" s="287">
        <v>2800</v>
      </c>
      <c r="B111" s="288">
        <v>2.82</v>
      </c>
      <c r="S111" s="16"/>
      <c r="X111" s="17"/>
    </row>
    <row r="112" spans="1:24" x14ac:dyDescent="0.3">
      <c r="A112" s="287">
        <v>3000</v>
      </c>
      <c r="B112" s="288">
        <v>3.02</v>
      </c>
      <c r="S112" s="16"/>
      <c r="X112" s="17"/>
    </row>
    <row r="113" spans="1:24" x14ac:dyDescent="0.3">
      <c r="A113" s="287">
        <v>3200</v>
      </c>
      <c r="B113" s="288">
        <v>3.22</v>
      </c>
      <c r="S113" s="16"/>
      <c r="X113" s="17"/>
    </row>
    <row r="114" spans="1:24" x14ac:dyDescent="0.3">
      <c r="A114" s="287">
        <v>3400</v>
      </c>
      <c r="B114" s="288">
        <v>3.42</v>
      </c>
      <c r="S114" s="16"/>
      <c r="X114" s="17"/>
    </row>
    <row r="117" spans="1:24" ht="61.8" thickBot="1" x14ac:dyDescent="0.35">
      <c r="A117" s="893" t="s">
        <v>5</v>
      </c>
      <c r="B117" s="894"/>
      <c r="C117" s="577" t="s">
        <v>169</v>
      </c>
      <c r="D117" s="577" t="s">
        <v>112</v>
      </c>
      <c r="E117" s="577" t="s">
        <v>113</v>
      </c>
      <c r="F117" s="88"/>
      <c r="G117" s="88" t="s">
        <v>30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8" t="s">
        <v>420</v>
      </c>
      <c r="M117" s="89" t="s">
        <v>14</v>
      </c>
      <c r="N117" s="118" t="s">
        <v>116</v>
      </c>
      <c r="O117" s="89" t="s">
        <v>114</v>
      </c>
      <c r="P117" s="89" t="s">
        <v>115</v>
      </c>
      <c r="Q117" s="89" t="s">
        <v>27</v>
      </c>
      <c r="R117" s="119" t="s">
        <v>117</v>
      </c>
      <c r="S117" s="84" t="s">
        <v>416</v>
      </c>
      <c r="T117" s="86" t="s">
        <v>94</v>
      </c>
      <c r="U117" s="86" t="s">
        <v>95</v>
      </c>
      <c r="V117" s="966" t="s">
        <v>70</v>
      </c>
      <c r="W117" s="966"/>
    </row>
    <row r="118" spans="1:24" ht="18.600000000000001" thickBot="1" x14ac:dyDescent="0.35">
      <c r="A118" s="956"/>
      <c r="B118" s="957"/>
      <c r="C118" s="573"/>
      <c r="D118" s="595" t="s">
        <v>419</v>
      </c>
      <c r="E118" s="592"/>
      <c r="F118" s="573"/>
      <c r="G118" s="232"/>
      <c r="H118" s="232"/>
      <c r="I118" s="236"/>
      <c r="J118" s="232"/>
      <c r="K118" s="236"/>
      <c r="L118" s="236"/>
      <c r="M118" s="593">
        <v>1</v>
      </c>
      <c r="N118" s="594">
        <v>32</v>
      </c>
      <c r="O118" s="593">
        <v>33</v>
      </c>
      <c r="P118" s="593">
        <v>34</v>
      </c>
      <c r="Q118" s="593">
        <f>IF(N118&lt;10,O118+M118,P118+M118)</f>
        <v>35</v>
      </c>
      <c r="R118" s="593">
        <v>42</v>
      </c>
      <c r="S118" s="593">
        <v>43</v>
      </c>
      <c r="T118" s="596">
        <v>47</v>
      </c>
      <c r="U118" s="596">
        <v>6</v>
      </c>
      <c r="V118" s="127" t="s">
        <v>71</v>
      </c>
      <c r="W118" s="127" t="s">
        <v>24</v>
      </c>
    </row>
    <row r="119" spans="1:24" ht="15" thickBot="1" x14ac:dyDescent="0.35">
      <c r="A119" s="956" t="s">
        <v>323</v>
      </c>
      <c r="B119" s="957"/>
      <c r="C119" s="573"/>
      <c r="D119" s="595" t="s">
        <v>417</v>
      </c>
      <c r="E119" s="592"/>
      <c r="F119" s="573"/>
      <c r="G119" s="235"/>
      <c r="H119" s="232"/>
      <c r="I119" s="236"/>
      <c r="J119" s="232"/>
      <c r="K119" s="236"/>
      <c r="L119" s="236"/>
      <c r="M119" s="593">
        <v>1</v>
      </c>
      <c r="N119" s="594">
        <v>32</v>
      </c>
      <c r="O119" s="593">
        <v>33</v>
      </c>
      <c r="P119" s="593">
        <v>34</v>
      </c>
      <c r="Q119" s="593">
        <f>IF(N119&lt;10,O119+M119,P119+M119)</f>
        <v>35</v>
      </c>
      <c r="R119" s="593">
        <v>42</v>
      </c>
      <c r="S119" s="593">
        <v>45</v>
      </c>
      <c r="T119" s="238">
        <v>47</v>
      </c>
      <c r="U119" s="238">
        <v>6</v>
      </c>
      <c r="V119" s="590">
        <v>26</v>
      </c>
      <c r="W119" s="590">
        <v>28</v>
      </c>
    </row>
    <row r="120" spans="1:24" x14ac:dyDescent="0.3">
      <c r="A120" s="956" t="s">
        <v>324</v>
      </c>
      <c r="B120" s="957"/>
      <c r="C120" s="573"/>
      <c r="D120" s="595" t="s">
        <v>418</v>
      </c>
      <c r="E120" s="592"/>
      <c r="F120" s="573"/>
      <c r="G120" s="235"/>
      <c r="H120" s="232"/>
      <c r="I120" s="236"/>
      <c r="J120" s="232"/>
      <c r="K120" s="236"/>
      <c r="L120" s="236"/>
      <c r="M120" s="593">
        <v>1</v>
      </c>
      <c r="N120" s="594">
        <v>32</v>
      </c>
      <c r="O120" s="593">
        <v>33</v>
      </c>
      <c r="P120" s="593">
        <v>34</v>
      </c>
      <c r="Q120" s="593">
        <f>IF(N120&lt;10,O120+M120,P120+M120)</f>
        <v>35</v>
      </c>
      <c r="R120" s="593">
        <v>42</v>
      </c>
      <c r="S120" s="593">
        <v>46</v>
      </c>
      <c r="T120" s="238">
        <v>47</v>
      </c>
      <c r="U120" s="238">
        <v>6</v>
      </c>
      <c r="V120" s="590">
        <v>27</v>
      </c>
      <c r="W120" s="590">
        <v>29</v>
      </c>
    </row>
    <row r="121" spans="1:24" ht="18" x14ac:dyDescent="0.3">
      <c r="A121" s="62"/>
      <c r="B121" s="62"/>
      <c r="C121" s="62"/>
      <c r="D121" s="62"/>
      <c r="E121" s="63" t="s">
        <v>321</v>
      </c>
      <c r="F121" s="63" t="s">
        <v>322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959"/>
      <c r="Q121" s="959"/>
      <c r="R121" s="570"/>
      <c r="S121" s="570"/>
      <c r="T121" s="570"/>
    </row>
    <row r="122" spans="1:24" ht="18" x14ac:dyDescent="0.3">
      <c r="A122" s="68"/>
      <c r="B122" s="62"/>
      <c r="C122" s="887" t="s">
        <v>61</v>
      </c>
      <c r="D122" s="888"/>
      <c r="E122" s="588">
        <v>7</v>
      </c>
      <c r="F122" s="588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76"/>
      <c r="Q122" s="576"/>
      <c r="R122" s="570"/>
      <c r="S122" s="570"/>
      <c r="T122" s="570"/>
    </row>
    <row r="123" spans="1:24" ht="15" customHeight="1" x14ac:dyDescent="0.3">
      <c r="A123" s="62"/>
      <c r="B123" s="62"/>
      <c r="C123" s="887" t="s">
        <v>411</v>
      </c>
      <c r="D123" s="888"/>
      <c r="E123" s="588">
        <v>9</v>
      </c>
      <c r="F123" s="588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70"/>
      <c r="S123" s="570"/>
      <c r="T123" s="570"/>
      <c r="V123" s="16" t="s">
        <v>181</v>
      </c>
    </row>
    <row r="124" spans="1:24" ht="15" customHeight="1" thickBot="1" x14ac:dyDescent="0.35">
      <c r="A124" s="62"/>
      <c r="B124" s="62"/>
      <c r="C124" s="889" t="s">
        <v>410</v>
      </c>
      <c r="D124" s="890"/>
      <c r="E124" s="588">
        <v>11</v>
      </c>
      <c r="F124" s="588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70"/>
      <c r="S124" s="570"/>
      <c r="T124" s="570"/>
    </row>
    <row r="125" spans="1:24" ht="16.2" thickBot="1" x14ac:dyDescent="0.35">
      <c r="A125" s="62"/>
      <c r="B125" s="62"/>
      <c r="C125" s="891" t="s">
        <v>412</v>
      </c>
      <c r="D125" s="892"/>
      <c r="E125" s="588">
        <v>13</v>
      </c>
      <c r="F125" s="588">
        <v>14</v>
      </c>
      <c r="G125" s="63"/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70"/>
      <c r="S125" s="570"/>
      <c r="T125" s="570"/>
      <c r="U125" s="151"/>
      <c r="V125" s="151"/>
    </row>
    <row r="126" spans="1:24" ht="16.2" thickBot="1" x14ac:dyDescent="0.35">
      <c r="A126" s="62"/>
      <c r="B126" s="62"/>
      <c r="C126" s="976" t="s">
        <v>415</v>
      </c>
      <c r="D126" s="977" t="s">
        <v>172</v>
      </c>
      <c r="E126" s="588">
        <v>36</v>
      </c>
      <c r="F126" s="588">
        <v>37</v>
      </c>
      <c r="G126" s="63"/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70"/>
      <c r="S126" s="570"/>
      <c r="T126" s="570"/>
    </row>
    <row r="127" spans="1:24" ht="16.2" thickBot="1" x14ac:dyDescent="0.35">
      <c r="A127" s="62"/>
      <c r="B127" s="62"/>
      <c r="C127" s="976" t="s">
        <v>173</v>
      </c>
      <c r="D127" s="977"/>
      <c r="E127" s="588">
        <v>38</v>
      </c>
      <c r="F127" s="588">
        <v>39</v>
      </c>
      <c r="G127" s="63"/>
      <c r="H127" s="63"/>
      <c r="I127" s="63"/>
      <c r="J127" s="64"/>
      <c r="K127" s="65"/>
      <c r="L127" s="64"/>
      <c r="M127" s="66"/>
      <c r="N127" s="129"/>
      <c r="O127" s="967">
        <v>30</v>
      </c>
      <c r="P127" s="968"/>
      <c r="Q127" s="968"/>
      <c r="R127" s="968"/>
      <c r="S127" s="968"/>
      <c r="T127" s="969"/>
    </row>
    <row r="128" spans="1:24" ht="16.2" thickBot="1" x14ac:dyDescent="0.35">
      <c r="A128" s="62"/>
      <c r="B128" s="62"/>
      <c r="C128" s="976" t="s">
        <v>149</v>
      </c>
      <c r="D128" s="977"/>
      <c r="E128" s="588">
        <v>48</v>
      </c>
      <c r="F128" s="588"/>
      <c r="G128" s="17" t="s">
        <v>183</v>
      </c>
      <c r="H128" s="63"/>
      <c r="I128" s="63"/>
      <c r="J128" s="64"/>
      <c r="K128" s="65"/>
      <c r="L128" s="64"/>
      <c r="M128" s="66"/>
      <c r="N128" s="129"/>
      <c r="O128" s="970"/>
      <c r="P128" s="971"/>
      <c r="Q128" s="971"/>
      <c r="R128" s="971"/>
      <c r="S128" s="971"/>
      <c r="T128" s="972"/>
    </row>
    <row r="129" spans="1:20" ht="16.2" thickBot="1" x14ac:dyDescent="0.35">
      <c r="A129" s="62"/>
      <c r="B129" s="62"/>
      <c r="C129" s="978" t="s">
        <v>414</v>
      </c>
      <c r="D129" s="979"/>
      <c r="E129" s="588">
        <v>40</v>
      </c>
      <c r="F129" s="588"/>
      <c r="G129" s="63"/>
      <c r="H129" s="63"/>
      <c r="I129" s="63"/>
      <c r="J129" s="64"/>
      <c r="K129" s="65"/>
      <c r="L129" s="64"/>
      <c r="M129" s="66"/>
      <c r="N129" s="129"/>
      <c r="O129" s="973"/>
      <c r="P129" s="974"/>
      <c r="Q129" s="974"/>
      <c r="R129" s="974"/>
      <c r="S129" s="974"/>
      <c r="T129" s="975"/>
    </row>
  </sheetData>
  <mergeCells count="79">
    <mergeCell ref="C127:D127"/>
    <mergeCell ref="O127:T129"/>
    <mergeCell ref="C128:D128"/>
    <mergeCell ref="C129:D129"/>
    <mergeCell ref="V117:W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4:B44"/>
    <mergeCell ref="M25:P27"/>
    <mergeCell ref="C25:E26"/>
    <mergeCell ref="F25:G26"/>
    <mergeCell ref="H25:H26"/>
    <mergeCell ref="G5:J6"/>
    <mergeCell ref="C5:E6"/>
    <mergeCell ref="K5:M6"/>
    <mergeCell ref="C13:C14"/>
    <mergeCell ref="D13:E14"/>
    <mergeCell ref="F13:F14"/>
    <mergeCell ref="G13:H14"/>
    <mergeCell ref="N5:O6"/>
    <mergeCell ref="K8:M9"/>
    <mergeCell ref="N8:O9"/>
    <mergeCell ref="P8:P9"/>
    <mergeCell ref="K13:K14"/>
    <mergeCell ref="M14:N17"/>
    <mergeCell ref="O14:P15"/>
    <mergeCell ref="Q14:R15"/>
    <mergeCell ref="O16:P17"/>
    <mergeCell ref="Q16:R17"/>
    <mergeCell ref="U11:X15"/>
    <mergeCell ref="C17:E18"/>
    <mergeCell ref="F17:G18"/>
    <mergeCell ref="M18:N21"/>
    <mergeCell ref="Q18:R19"/>
    <mergeCell ref="Q20:R21"/>
    <mergeCell ref="I13:I14"/>
    <mergeCell ref="J13:J14"/>
    <mergeCell ref="C21:E22"/>
    <mergeCell ref="F21:G22"/>
    <mergeCell ref="H21:H22"/>
    <mergeCell ref="V44:W44"/>
    <mergeCell ref="A45:B45"/>
    <mergeCell ref="A46:B46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P48:Q48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7" priority="1" operator="greaterThan">
      <formula>55</formula>
    </cfRule>
  </conditionalFormatting>
  <dataValidations count="1">
    <dataValidation type="list" allowBlank="1" showInputMessage="1" showErrorMessage="1" promptTitle="Select a value " sqref="F17" xr:uid="{FBA2AAAA-B3D8-4DE4-A245-3F91602D6953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FB892A0-905A-4889-84EC-F7DEF11F6A82}">
          <x14:formula1>
            <xm:f>'Default values '!$C$2:$C$10</xm:f>
          </x14:formula1>
          <xm:sqref>N5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118E6D-80E3-4F68-82ED-DD0E0058A8C0}">
  <dimension ref="A1:AA105"/>
  <sheetViews>
    <sheetView workbookViewId="0">
      <selection activeCell="W26" sqref="W26"/>
    </sheetView>
  </sheetViews>
  <sheetFormatPr defaultRowHeight="14.4" x14ac:dyDescent="0.3"/>
  <cols>
    <col min="1" max="1" width="7.33203125" style="17" customWidth="1"/>
    <col min="2" max="2" width="5.21875" style="17" customWidth="1"/>
    <col min="3" max="3" width="13" style="17" customWidth="1"/>
    <col min="4" max="11" width="8.77734375" style="17" customWidth="1"/>
    <col min="12" max="12" width="6.88671875" style="17" customWidth="1"/>
    <col min="13" max="13" width="11.21875" style="17" customWidth="1"/>
    <col min="14" max="17" width="8.77734375" style="17" customWidth="1"/>
    <col min="18" max="18" width="6.88671875" style="17" customWidth="1"/>
    <col min="19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292"/>
      <c r="B1" s="292"/>
      <c r="C1" s="292"/>
      <c r="D1" s="292"/>
      <c r="E1" s="292"/>
      <c r="F1" s="292"/>
      <c r="G1" s="292"/>
      <c r="H1" s="292"/>
      <c r="I1" s="292"/>
      <c r="J1" s="292"/>
      <c r="K1" s="292"/>
      <c r="L1" s="292"/>
      <c r="M1" s="292"/>
      <c r="N1" s="292"/>
      <c r="O1" s="292"/>
      <c r="P1" s="292"/>
      <c r="Q1" s="292"/>
      <c r="R1" s="292"/>
      <c r="S1" s="292"/>
    </row>
    <row r="2" spans="1:26" ht="15" customHeight="1" x14ac:dyDescent="0.3">
      <c r="A2" s="292"/>
      <c r="B2" s="15"/>
      <c r="C2" s="15"/>
      <c r="D2" s="15"/>
      <c r="E2" s="15"/>
      <c r="F2" s="15"/>
      <c r="G2" s="292"/>
      <c r="H2" s="292"/>
      <c r="I2" s="292"/>
      <c r="J2" s="292"/>
      <c r="K2" s="292"/>
      <c r="L2" s="292"/>
      <c r="M2" s="292"/>
      <c r="N2" s="292"/>
      <c r="O2" s="292"/>
      <c r="P2" s="292"/>
      <c r="Q2" s="292"/>
      <c r="R2" s="292"/>
      <c r="S2" s="292"/>
    </row>
    <row r="3" spans="1:26" ht="4.8" customHeight="1" x14ac:dyDescent="0.3">
      <c r="A3" s="29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92"/>
    </row>
    <row r="4" spans="1:26" ht="5.4" customHeight="1" x14ac:dyDescent="0.3">
      <c r="A4" s="292"/>
      <c r="B4" s="292"/>
      <c r="C4" s="292"/>
      <c r="D4" s="292"/>
      <c r="E4" s="292"/>
      <c r="F4" s="292"/>
      <c r="G4" s="292"/>
      <c r="H4" s="292"/>
      <c r="I4" s="292"/>
      <c r="J4" s="292"/>
      <c r="K4" s="292"/>
      <c r="L4" s="292"/>
      <c r="M4" s="292"/>
      <c r="N4" s="292"/>
      <c r="O4" s="292"/>
      <c r="P4" s="292"/>
      <c r="Q4" s="292"/>
      <c r="R4" s="292"/>
      <c r="S4" s="292"/>
      <c r="T4" s="24"/>
    </row>
    <row r="5" spans="1:26" s="23" customFormat="1" ht="15" customHeight="1" x14ac:dyDescent="0.3">
      <c r="A5" s="26"/>
      <c r="B5" s="28"/>
      <c r="C5" s="864" t="s">
        <v>16</v>
      </c>
      <c r="D5" s="864"/>
      <c r="E5" s="864"/>
      <c r="F5" s="997" t="s">
        <v>243</v>
      </c>
      <c r="G5" s="997"/>
      <c r="H5" s="997"/>
      <c r="I5" s="997"/>
      <c r="J5" s="997"/>
      <c r="K5" s="866" t="s">
        <v>15</v>
      </c>
      <c r="L5" s="866"/>
      <c r="M5" s="866"/>
      <c r="N5" s="908" t="s">
        <v>22</v>
      </c>
      <c r="O5" s="908"/>
      <c r="P5" s="32">
        <f>VLOOKUP(N5,'Default values '!C2:D10,2,TRUE)</f>
        <v>6000</v>
      </c>
      <c r="Q5" s="28"/>
      <c r="R5" s="28"/>
      <c r="S5" s="28"/>
      <c r="T5" s="25"/>
      <c r="U5" s="16"/>
      <c r="V5" s="22"/>
      <c r="W5" s="22"/>
      <c r="X5" s="22"/>
      <c r="Y5" s="22"/>
      <c r="Z5" s="22"/>
    </row>
    <row r="6" spans="1:26" ht="15" customHeight="1" x14ac:dyDescent="0.35">
      <c r="A6" s="292"/>
      <c r="B6" s="14"/>
      <c r="C6" s="864"/>
      <c r="D6" s="864"/>
      <c r="E6" s="864"/>
      <c r="F6" s="997"/>
      <c r="G6" s="997"/>
      <c r="H6" s="997"/>
      <c r="I6" s="997"/>
      <c r="J6" s="997"/>
      <c r="K6" s="866"/>
      <c r="L6" s="866"/>
      <c r="M6" s="866"/>
      <c r="N6" s="908"/>
      <c r="O6" s="908"/>
      <c r="P6" s="14"/>
      <c r="Q6" s="14"/>
      <c r="R6" s="14"/>
      <c r="S6" s="14"/>
    </row>
    <row r="7" spans="1:26" ht="15" customHeight="1" x14ac:dyDescent="0.35">
      <c r="A7" s="292"/>
      <c r="B7" s="14"/>
      <c r="C7" s="293"/>
      <c r="D7" s="293"/>
      <c r="E7" s="293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292"/>
      <c r="B8" s="14"/>
      <c r="C8" s="293"/>
      <c r="D8" s="293"/>
      <c r="E8" s="293"/>
      <c r="F8" s="47"/>
      <c r="G8" s="285"/>
      <c r="H8" s="285"/>
      <c r="I8" s="285"/>
      <c r="J8" s="285"/>
      <c r="K8" s="866"/>
      <c r="L8" s="866"/>
      <c r="M8" s="866"/>
      <c r="N8" s="868"/>
      <c r="O8" s="868"/>
      <c r="P8" s="869"/>
      <c r="Q8" s="14"/>
      <c r="R8" s="14"/>
      <c r="S8" s="14"/>
      <c r="U8" s="22"/>
    </row>
    <row r="9" spans="1:26" ht="15" customHeight="1" x14ac:dyDescent="0.35">
      <c r="A9" s="292"/>
      <c r="B9" s="14"/>
      <c r="C9" s="293"/>
      <c r="D9" s="293"/>
      <c r="E9" s="293"/>
      <c r="F9" s="47"/>
      <c r="G9" s="285"/>
      <c r="H9" s="285"/>
      <c r="I9" s="285"/>
      <c r="J9" s="285"/>
      <c r="K9" s="866"/>
      <c r="L9" s="866"/>
      <c r="M9" s="866"/>
      <c r="N9" s="868"/>
      <c r="O9" s="868"/>
      <c r="P9" s="869"/>
      <c r="Q9" s="26"/>
      <c r="R9" s="26"/>
      <c r="S9" s="26"/>
    </row>
    <row r="10" spans="1:26" s="23" customFormat="1" ht="15" customHeight="1" x14ac:dyDescent="0.35">
      <c r="A10" s="292"/>
      <c r="B10" s="14"/>
      <c r="C10" s="293"/>
      <c r="D10" s="293"/>
      <c r="E10" s="293"/>
      <c r="F10" s="47"/>
      <c r="G10" s="47"/>
      <c r="H10" s="47"/>
      <c r="I10" s="292"/>
      <c r="J10" s="292"/>
      <c r="K10" s="292"/>
      <c r="L10" s="292"/>
      <c r="M10" s="292"/>
      <c r="N10" s="292"/>
      <c r="O10" s="292"/>
      <c r="P10" s="292"/>
      <c r="Q10" s="292"/>
      <c r="R10" s="292"/>
      <c r="S10" s="292"/>
      <c r="T10" s="22"/>
      <c r="U10" s="22"/>
      <c r="V10" s="22"/>
      <c r="W10" s="22"/>
      <c r="X10" s="22"/>
      <c r="Y10" s="22"/>
      <c r="Z10" s="22"/>
    </row>
    <row r="11" spans="1:26" ht="15" customHeight="1" thickBot="1" x14ac:dyDescent="0.4">
      <c r="A11" s="292"/>
      <c r="B11" s="14"/>
      <c r="C11" s="14"/>
      <c r="D11" s="14"/>
      <c r="E11" s="14"/>
      <c r="F11" s="14"/>
      <c r="G11" s="14"/>
      <c r="H11" s="14"/>
      <c r="I11" s="292"/>
      <c r="J11" s="292"/>
      <c r="K11" s="292"/>
      <c r="L11" s="292"/>
      <c r="M11" s="292"/>
      <c r="N11" s="292"/>
      <c r="O11" s="292"/>
      <c r="P11" s="292"/>
      <c r="Q11" s="292"/>
      <c r="R11" s="292"/>
      <c r="S11" s="292"/>
    </row>
    <row r="12" spans="1:26" ht="15" customHeight="1" thickTop="1" x14ac:dyDescent="0.35">
      <c r="A12" s="292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292"/>
      <c r="M12" s="15"/>
      <c r="N12" s="15"/>
      <c r="O12" s="15"/>
      <c r="P12" s="15"/>
      <c r="Q12" s="15"/>
      <c r="R12" s="15"/>
      <c r="S12" s="292"/>
    </row>
    <row r="13" spans="1:26" ht="15" customHeight="1" x14ac:dyDescent="0.3">
      <c r="A13" s="26"/>
      <c r="B13" s="31"/>
      <c r="C13" s="869"/>
      <c r="D13" s="869"/>
      <c r="E13" s="869"/>
      <c r="F13" s="868">
        <v>1</v>
      </c>
      <c r="G13" s="868"/>
      <c r="H13" s="869"/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</row>
    <row r="14" spans="1:26" s="23" customFormat="1" ht="15" customHeight="1" x14ac:dyDescent="0.3">
      <c r="A14" s="292"/>
      <c r="B14" s="8"/>
      <c r="C14" s="869"/>
      <c r="D14" s="869"/>
      <c r="E14" s="869"/>
      <c r="F14" s="868"/>
      <c r="G14" s="868"/>
      <c r="H14" s="869"/>
      <c r="I14" s="15"/>
      <c r="J14" s="26"/>
      <c r="K14" s="51"/>
      <c r="L14" s="26"/>
      <c r="M14" s="899" t="str">
        <f>IF(O14="","","Heat loss")</f>
        <v>Heat loss</v>
      </c>
      <c r="N14" s="899"/>
      <c r="O14" s="1012">
        <f>IF(F25=0,"",N40)</f>
        <v>3812.9246915000599</v>
      </c>
      <c r="P14" s="1012"/>
      <c r="Q14" s="1013" t="str">
        <f>IF(O14="","","kWh/m²a")</f>
        <v>kWh/m²a</v>
      </c>
      <c r="R14" s="1013"/>
      <c r="S14" s="292"/>
      <c r="T14" s="22"/>
      <c r="U14" s="1007" t="s">
        <v>191</v>
      </c>
      <c r="V14" s="1007"/>
      <c r="W14" s="1007"/>
      <c r="X14" s="1007"/>
      <c r="Y14" s="22"/>
      <c r="Z14" s="22"/>
    </row>
    <row r="15" spans="1:26" ht="15" customHeight="1" x14ac:dyDescent="0.3">
      <c r="A15" s="292"/>
      <c r="B15" s="8"/>
      <c r="C15" s="292"/>
      <c r="D15" s="292"/>
      <c r="E15" s="292"/>
      <c r="F15" s="325"/>
      <c r="G15" s="325"/>
      <c r="H15" s="292"/>
      <c r="I15" s="15"/>
      <c r="J15" s="15"/>
      <c r="K15" s="45"/>
      <c r="L15" s="15"/>
      <c r="M15" s="899"/>
      <c r="N15" s="899"/>
      <c r="O15" s="1012"/>
      <c r="P15" s="1012"/>
      <c r="Q15" s="1013"/>
      <c r="R15" s="1013"/>
      <c r="S15" s="292"/>
    </row>
    <row r="16" spans="1:26" ht="15" customHeight="1" x14ac:dyDescent="0.3">
      <c r="A16" s="292"/>
      <c r="B16" s="8"/>
      <c r="C16" s="292"/>
      <c r="D16" s="292"/>
      <c r="E16" s="292"/>
      <c r="F16" s="325"/>
      <c r="G16" s="325"/>
      <c r="H16" s="292"/>
      <c r="I16" s="27"/>
      <c r="J16" s="27"/>
      <c r="K16" s="45"/>
      <c r="L16" s="27"/>
      <c r="M16" s="899"/>
      <c r="N16" s="899"/>
      <c r="O16" s="1014">
        <f>IF(F25=0,"",O40)</f>
        <v>190.64623457500301</v>
      </c>
      <c r="P16" s="1014"/>
      <c r="Q16" s="1015" t="str">
        <f>IF(F25="","","€/m²a")</f>
        <v>€/m²a</v>
      </c>
      <c r="R16" s="1015"/>
      <c r="S16" s="292"/>
    </row>
    <row r="17" spans="1:26" ht="15" customHeight="1" x14ac:dyDescent="0.3">
      <c r="A17" s="26"/>
      <c r="B17" s="31"/>
      <c r="C17" s="869" t="s">
        <v>109</v>
      </c>
      <c r="D17" s="869"/>
      <c r="E17" s="869"/>
      <c r="F17" s="898" t="s">
        <v>379</v>
      </c>
      <c r="G17" s="898"/>
      <c r="H17" s="52">
        <f>IF(F17="","",VLOOKUP(F17,'Default values '!A2:B7,2,FALSE))</f>
        <v>0.9</v>
      </c>
      <c r="I17" s="27"/>
      <c r="J17" s="27"/>
      <c r="K17" s="51"/>
      <c r="L17" s="27"/>
      <c r="M17" s="899"/>
      <c r="N17" s="899"/>
      <c r="O17" s="1014"/>
      <c r="P17" s="1014"/>
      <c r="Q17" s="1015"/>
      <c r="R17" s="1015"/>
      <c r="S17" s="26"/>
    </row>
    <row r="18" spans="1:26" s="23" customFormat="1" ht="15" customHeight="1" x14ac:dyDescent="0.3">
      <c r="A18" s="292"/>
      <c r="B18" s="8"/>
      <c r="C18" s="869"/>
      <c r="D18" s="869"/>
      <c r="E18" s="869"/>
      <c r="F18" s="898"/>
      <c r="G18" s="898"/>
      <c r="H18" s="15"/>
      <c r="I18" s="292"/>
      <c r="J18" s="292"/>
      <c r="K18" s="9"/>
      <c r="L18" s="292"/>
      <c r="M18" s="1016" t="str">
        <f>IF(O14="","","Minimun Saving potential")</f>
        <v>Minimun Saving potential</v>
      </c>
      <c r="N18" s="1016"/>
      <c r="O18" s="1017">
        <f>IF(F25=0,"",P41)</f>
        <v>3104.6804877344848</v>
      </c>
      <c r="P18" s="1017"/>
      <c r="Q18" s="961" t="str">
        <f>IF(F25="","","kWh/m²a")</f>
        <v>kWh/m²a</v>
      </c>
      <c r="R18" s="961"/>
      <c r="S18" s="292"/>
      <c r="T18" s="22"/>
      <c r="U18" s="22"/>
      <c r="V18" s="22"/>
      <c r="W18" s="22"/>
      <c r="X18" s="22"/>
      <c r="Y18" s="22"/>
      <c r="Z18" s="22"/>
    </row>
    <row r="19" spans="1:26" ht="15" customHeight="1" x14ac:dyDescent="0.3">
      <c r="A19" s="292"/>
      <c r="B19" s="8"/>
      <c r="C19" s="15"/>
      <c r="D19" s="15"/>
      <c r="E19" s="15"/>
      <c r="F19" s="325"/>
      <c r="G19" s="325"/>
      <c r="H19" s="15"/>
      <c r="I19" s="292"/>
      <c r="J19" s="292"/>
      <c r="K19" s="9"/>
      <c r="L19" s="292"/>
      <c r="M19" s="1016"/>
      <c r="N19" s="1016"/>
      <c r="O19" s="1017"/>
      <c r="P19" s="1017"/>
      <c r="Q19" s="961"/>
      <c r="R19" s="961"/>
      <c r="S19" s="292"/>
    </row>
    <row r="20" spans="1:26" ht="15" customHeight="1" x14ac:dyDescent="0.3">
      <c r="A20" s="292"/>
      <c r="B20" s="8"/>
      <c r="C20" s="292"/>
      <c r="D20" s="292"/>
      <c r="E20" s="292"/>
      <c r="F20" s="325"/>
      <c r="G20" s="325"/>
      <c r="H20" s="292"/>
      <c r="I20" s="292"/>
      <c r="J20" s="292"/>
      <c r="K20" s="9"/>
      <c r="L20" s="292"/>
      <c r="M20" s="1016"/>
      <c r="N20" s="1016"/>
      <c r="O20" s="1011">
        <f>IF(N40=0,"",Q41)</f>
        <v>155.23402438672426</v>
      </c>
      <c r="P20" s="1011"/>
      <c r="Q20" s="962" t="str">
        <f>IF(F25=0,"","€/m²a")</f>
        <v>€/m²a</v>
      </c>
      <c r="R20" s="962"/>
      <c r="S20" s="292"/>
    </row>
    <row r="21" spans="1:26" ht="15" customHeight="1" x14ac:dyDescent="0.3">
      <c r="A21" s="26"/>
      <c r="B21" s="31"/>
      <c r="C21" s="869" t="s">
        <v>39</v>
      </c>
      <c r="D21" s="869"/>
      <c r="E21" s="869"/>
      <c r="F21" s="898">
        <v>15</v>
      </c>
      <c r="G21" s="898"/>
      <c r="H21" s="869" t="s">
        <v>23</v>
      </c>
      <c r="I21" s="26"/>
      <c r="J21" s="26"/>
      <c r="K21" s="51"/>
      <c r="L21" s="26"/>
      <c r="M21" s="1016"/>
      <c r="N21" s="1016"/>
      <c r="O21" s="1011"/>
      <c r="P21" s="1011"/>
      <c r="Q21" s="962"/>
      <c r="R21" s="962"/>
      <c r="S21" s="26"/>
    </row>
    <row r="22" spans="1:26" s="23" customFormat="1" ht="15" customHeight="1" x14ac:dyDescent="0.3">
      <c r="A22" s="292"/>
      <c r="B22" s="8"/>
      <c r="C22" s="869"/>
      <c r="D22" s="869"/>
      <c r="E22" s="869"/>
      <c r="F22" s="898"/>
      <c r="G22" s="898"/>
      <c r="H22" s="869"/>
      <c r="I22" s="292"/>
      <c r="J22" s="292"/>
      <c r="K22" s="9"/>
      <c r="L22" s="292"/>
      <c r="M22" s="46"/>
      <c r="N22" s="46"/>
      <c r="O22" s="46"/>
      <c r="P22" s="46"/>
      <c r="Q22" s="46"/>
      <c r="R22" s="46"/>
      <c r="S22" s="292"/>
      <c r="T22" s="22"/>
      <c r="U22" s="22"/>
      <c r="V22" s="22"/>
      <c r="W22" s="22"/>
      <c r="X22" s="22"/>
      <c r="Y22" s="22"/>
      <c r="Z22" s="22"/>
    </row>
    <row r="23" spans="1:26" ht="15" customHeight="1" x14ac:dyDescent="0.3">
      <c r="A23" s="292"/>
      <c r="B23" s="8"/>
      <c r="C23" s="292"/>
      <c r="D23" s="292"/>
      <c r="E23" s="292"/>
      <c r="F23" s="326"/>
      <c r="G23" s="326"/>
      <c r="H23" s="18"/>
      <c r="I23" s="19"/>
      <c r="J23" s="19"/>
      <c r="K23" s="45"/>
      <c r="L23" s="292"/>
      <c r="M23" s="50"/>
      <c r="N23" s="48"/>
      <c r="O23" s="48"/>
      <c r="P23" s="48"/>
      <c r="Q23" s="48"/>
      <c r="R23" s="48"/>
      <c r="S23" s="292"/>
    </row>
    <row r="24" spans="1:26" ht="15" customHeight="1" x14ac:dyDescent="0.3">
      <c r="A24" s="292"/>
      <c r="B24" s="8"/>
      <c r="C24" s="292"/>
      <c r="D24" s="292"/>
      <c r="E24" s="292"/>
      <c r="F24" s="326"/>
      <c r="G24" s="326"/>
      <c r="H24" s="19"/>
      <c r="I24" s="19"/>
      <c r="J24" s="19"/>
      <c r="K24" s="45"/>
      <c r="L24" s="292"/>
      <c r="M24" s="54"/>
      <c r="N24" s="49"/>
      <c r="O24" s="49"/>
      <c r="P24" s="49"/>
      <c r="Q24" s="48"/>
      <c r="R24" s="48"/>
      <c r="S24" s="292"/>
    </row>
    <row r="25" spans="1:26" ht="15" customHeight="1" x14ac:dyDescent="0.3">
      <c r="A25" s="26"/>
      <c r="B25" s="8"/>
      <c r="C25" s="869" t="s">
        <v>317</v>
      </c>
      <c r="D25" s="869"/>
      <c r="E25" s="869"/>
      <c r="F25" s="898">
        <v>65</v>
      </c>
      <c r="G25" s="898"/>
      <c r="H25" s="869" t="s">
        <v>23</v>
      </c>
      <c r="I25" s="19"/>
      <c r="J25" s="19"/>
      <c r="K25" s="45"/>
      <c r="L25" s="292"/>
      <c r="M25" s="1010" t="str">
        <f>IF(F25="","",M47)</f>
        <v>Potential savings per m² if insulated. Total surface must be defined</v>
      </c>
      <c r="N25" s="1010"/>
      <c r="O25" s="1010"/>
      <c r="P25" s="1010"/>
      <c r="Q25" s="48"/>
      <c r="R25" s="48"/>
      <c r="S25" s="292"/>
    </row>
    <row r="26" spans="1:26" ht="15" customHeight="1" x14ac:dyDescent="0.3">
      <c r="A26" s="292"/>
      <c r="B26" s="8"/>
      <c r="C26" s="869"/>
      <c r="D26" s="869"/>
      <c r="E26" s="869"/>
      <c r="F26" s="898"/>
      <c r="G26" s="898"/>
      <c r="H26" s="869"/>
      <c r="I26" s="19"/>
      <c r="J26" s="19"/>
      <c r="K26" s="45"/>
      <c r="L26" s="292"/>
      <c r="M26" s="1010"/>
      <c r="N26" s="1010"/>
      <c r="O26" s="1010"/>
      <c r="P26" s="1010"/>
      <c r="Q26" s="48"/>
      <c r="R26" s="292"/>
      <c r="S26" s="292"/>
    </row>
    <row r="27" spans="1:26" ht="15" customHeight="1" thickBot="1" x14ac:dyDescent="0.35">
      <c r="A27" s="29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92"/>
      <c r="M27" s="1010"/>
      <c r="N27" s="1010"/>
      <c r="O27" s="1010"/>
      <c r="P27" s="1010"/>
      <c r="Q27" s="48"/>
      <c r="R27" s="292"/>
      <c r="S27" s="292"/>
    </row>
    <row r="28" spans="1:26" ht="15.6" thickTop="1" thickBot="1" x14ac:dyDescent="0.35">
      <c r="A28" s="292"/>
      <c r="B28" s="292"/>
      <c r="C28" s="292"/>
      <c r="D28" s="292"/>
      <c r="E28" s="292"/>
      <c r="F28" s="292"/>
      <c r="G28" s="292"/>
      <c r="H28" s="292"/>
      <c r="I28" s="292"/>
      <c r="J28" s="292"/>
      <c r="K28" s="292"/>
      <c r="L28" s="292"/>
      <c r="M28" s="292"/>
      <c r="N28" s="292"/>
      <c r="O28" s="292"/>
      <c r="P28" s="292"/>
      <c r="Q28" s="292"/>
      <c r="R28" s="292"/>
      <c r="S28" s="292"/>
    </row>
    <row r="29" spans="1:26" ht="15" thickTop="1" x14ac:dyDescent="0.3">
      <c r="A29" s="29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92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09"/>
      <c r="R31" s="292"/>
      <c r="S31" s="292"/>
      <c r="T31" s="292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09"/>
      <c r="R32" s="292"/>
      <c r="S32" s="292"/>
      <c r="T32" s="292"/>
    </row>
    <row r="33" spans="1:24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09"/>
      <c r="R33" s="292"/>
      <c r="S33" s="292"/>
      <c r="T33" s="292"/>
    </row>
    <row r="34" spans="1:24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09"/>
      <c r="R34" s="292"/>
      <c r="S34" s="292"/>
      <c r="T34" s="292"/>
    </row>
    <row r="35" spans="1:24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4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4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4" customFormat="1" ht="98.4" customHeight="1" x14ac:dyDescent="0.3">
      <c r="A38" s="71"/>
      <c r="B38" s="71"/>
      <c r="C38" s="79"/>
      <c r="D38" s="78"/>
      <c r="E38" s="78"/>
      <c r="F38" s="35"/>
      <c r="G38" s="16"/>
      <c r="H38" s="16"/>
      <c r="I38" s="16"/>
      <c r="J38" s="80"/>
      <c r="K38" s="80"/>
      <c r="L38" s="80"/>
      <c r="M38" s="81"/>
      <c r="N38" s="82" t="s">
        <v>32</v>
      </c>
      <c r="O38" s="82" t="s">
        <v>93</v>
      </c>
      <c r="P38" s="897"/>
      <c r="Q38" s="897"/>
      <c r="R38" s="83"/>
      <c r="S38" s="16"/>
      <c r="T38" s="16"/>
      <c r="U38" s="82"/>
      <c r="V38" s="82"/>
    </row>
    <row r="39" spans="1:24" s="34" customFormat="1" ht="43.2" customHeight="1" x14ac:dyDescent="0.3">
      <c r="A39" s="893" t="s">
        <v>5</v>
      </c>
      <c r="B39" s="894"/>
      <c r="C39" s="295" t="s">
        <v>37</v>
      </c>
      <c r="D39" s="88" t="s">
        <v>43</v>
      </c>
      <c r="E39" s="88" t="s">
        <v>30</v>
      </c>
      <c r="F39" s="88" t="s">
        <v>31</v>
      </c>
      <c r="G39" s="90" t="s">
        <v>88</v>
      </c>
      <c r="H39" s="88" t="s">
        <v>69</v>
      </c>
      <c r="I39" s="88" t="s">
        <v>68</v>
      </c>
      <c r="J39" s="89" t="s">
        <v>14</v>
      </c>
      <c r="K39" s="89" t="s">
        <v>29</v>
      </c>
      <c r="L39" s="89" t="s">
        <v>27</v>
      </c>
      <c r="M39" s="84" t="s">
        <v>28</v>
      </c>
      <c r="N39" s="86" t="s">
        <v>94</v>
      </c>
      <c r="O39" s="86" t="s">
        <v>95</v>
      </c>
      <c r="P39" s="298" t="s">
        <v>70</v>
      </c>
      <c r="Q39" s="298"/>
      <c r="R39" s="895"/>
      <c r="S39" s="895"/>
      <c r="T39" s="895"/>
      <c r="U39" s="1007" t="s">
        <v>331</v>
      </c>
      <c r="V39" s="1007"/>
      <c r="W39" s="1007"/>
      <c r="X39" s="1007"/>
    </row>
    <row r="40" spans="1:24" customFormat="1" ht="18" x14ac:dyDescent="0.3">
      <c r="A40" s="886" t="str">
        <f>F5</f>
        <v>Connexion tank21</v>
      </c>
      <c r="B40" s="886"/>
      <c r="C40" s="591">
        <f>F13</f>
        <v>1</v>
      </c>
      <c r="D40" s="263">
        <f>N8</f>
        <v>0</v>
      </c>
      <c r="E40" s="264">
        <f>F25</f>
        <v>65</v>
      </c>
      <c r="F40" s="264">
        <f>F21</f>
        <v>15</v>
      </c>
      <c r="G40" s="265">
        <f>H17</f>
        <v>0.9</v>
      </c>
      <c r="H40" s="264">
        <f>P5</f>
        <v>6000</v>
      </c>
      <c r="I40" s="265">
        <f>TBi!$L$27</f>
        <v>0.05</v>
      </c>
      <c r="J40" s="200">
        <f>IF(E40=0,"",$D$53*$G$40*(((E40+273)^4-(F40+273)^4)/(E40-F40)))</f>
        <v>6.2995349999294641</v>
      </c>
      <c r="K40" s="201">
        <f>IF(E40=0,"",1.74*ABS(E40-F40)^0.3333333)</f>
        <v>6.4102139717374005</v>
      </c>
      <c r="L40" s="200">
        <f>IF(E40=0,"",J40+K40)</f>
        <v>12.709748971666865</v>
      </c>
      <c r="M40" s="202">
        <f>IF(E40=0,"",L40*ABS(E40-F40))</f>
        <v>635.48744858334328</v>
      </c>
      <c r="N40" s="85">
        <f>IF(E40=0,"",M40*H40*C40/1000)</f>
        <v>3812.9246915000599</v>
      </c>
      <c r="O40" s="85">
        <f>IF(E40=0,"",N40*I40)</f>
        <v>190.64623457500301</v>
      </c>
      <c r="P40" s="127" t="s">
        <v>71</v>
      </c>
      <c r="Q40" s="127" t="s">
        <v>24</v>
      </c>
      <c r="R40" s="896"/>
      <c r="S40" s="896"/>
      <c r="T40" s="896"/>
    </row>
    <row r="41" spans="1:24" s="16" customFormat="1" x14ac:dyDescent="0.3">
      <c r="A41" s="886" t="s">
        <v>323</v>
      </c>
      <c r="B41" s="886"/>
      <c r="C41" s="591">
        <f t="shared" ref="C41:I41" si="0">C40</f>
        <v>1</v>
      </c>
      <c r="D41" s="263">
        <f t="shared" si="0"/>
        <v>0</v>
      </c>
      <c r="E41" s="266">
        <f t="shared" si="0"/>
        <v>65</v>
      </c>
      <c r="F41" s="264">
        <f t="shared" si="0"/>
        <v>15</v>
      </c>
      <c r="G41" s="265">
        <f t="shared" si="0"/>
        <v>0.9</v>
      </c>
      <c r="H41" s="264">
        <f t="shared" si="0"/>
        <v>6000</v>
      </c>
      <c r="I41" s="265">
        <f t="shared" si="0"/>
        <v>0.05</v>
      </c>
      <c r="J41" s="200">
        <f>IF(E41=0,"",$D$53*G41*(((E41+273)^4-(F41+273)^4)/(E41-F41)))</f>
        <v>6.2995349999294641</v>
      </c>
      <c r="K41" s="201">
        <f>IF(E41=0,"",1.74*ABS(E41-F41)^0.3333333)</f>
        <v>6.4102139717374005</v>
      </c>
      <c r="L41" s="200">
        <f>IF(E41=0,"",J41+K41)</f>
        <v>12.709748971666865</v>
      </c>
      <c r="M41" s="202">
        <f>ABS(E41-F41)/((E47+E48))</f>
        <v>118.04070062759585</v>
      </c>
      <c r="N41" s="267">
        <f>IF(E41=0,"",M41*H41*C41/1000)</f>
        <v>708.24420376557509</v>
      </c>
      <c r="O41" s="267">
        <f>IF(E41=0,"",N41*I41)</f>
        <v>35.412210188278756</v>
      </c>
      <c r="P41" s="85">
        <f>N40-N41</f>
        <v>3104.6804877344848</v>
      </c>
      <c r="Q41" s="85">
        <f>O40-O41</f>
        <v>155.23402438672426</v>
      </c>
      <c r="R41" s="37"/>
      <c r="S41" s="37"/>
      <c r="T41" s="37"/>
    </row>
    <row r="42" spans="1:24" s="16" customFormat="1" ht="31.2" x14ac:dyDescent="0.3">
      <c r="A42" s="62"/>
      <c r="B42" s="62"/>
      <c r="C42" s="246"/>
      <c r="D42" s="247"/>
      <c r="E42" s="248"/>
      <c r="F42" s="249"/>
      <c r="G42" s="250"/>
      <c r="H42" s="251"/>
      <c r="I42" s="250"/>
      <c r="J42" s="64"/>
      <c r="K42" s="65"/>
      <c r="L42" s="64"/>
      <c r="M42" s="84" t="s">
        <v>178</v>
      </c>
      <c r="N42" s="294"/>
      <c r="O42" s="294"/>
      <c r="P42" s="129"/>
      <c r="Q42" s="129"/>
      <c r="R42" s="37"/>
      <c r="S42" s="37"/>
      <c r="T42" s="37"/>
    </row>
    <row r="43" spans="1:24" s="16" customFormat="1" ht="18" x14ac:dyDescent="0.3">
      <c r="A43" s="68"/>
      <c r="B43" s="62"/>
      <c r="C43" s="1008" t="s">
        <v>61</v>
      </c>
      <c r="D43" s="1009"/>
      <c r="E43" s="296">
        <f>(E40+F40)/2</f>
        <v>40</v>
      </c>
      <c r="F43" s="269"/>
      <c r="G43" s="63"/>
      <c r="H43" s="63"/>
      <c r="I43" s="63"/>
      <c r="J43" s="64"/>
      <c r="K43" s="65"/>
      <c r="L43" s="64"/>
      <c r="M43" s="81"/>
      <c r="N43" s="81"/>
      <c r="O43" s="81"/>
      <c r="P43" s="297"/>
      <c r="Q43" s="297"/>
      <c r="R43" s="37"/>
      <c r="S43" s="37"/>
      <c r="T43" s="37"/>
    </row>
    <row r="44" spans="1:24" s="16" customFormat="1" ht="16.2" customHeight="1" x14ac:dyDescent="0.3">
      <c r="A44" s="62"/>
      <c r="B44" s="62"/>
      <c r="C44" s="940" t="s">
        <v>62</v>
      </c>
      <c r="D44" s="941"/>
      <c r="E44" s="268">
        <f>C57+C58*E43+C59*E43^2+C60*E43^3</f>
        <v>3.8658217599999996E-2</v>
      </c>
      <c r="F44" s="190"/>
      <c r="G44" s="63"/>
      <c r="H44" s="63"/>
      <c r="I44" s="63"/>
      <c r="J44" s="64"/>
      <c r="K44" s="65"/>
      <c r="L44" s="64"/>
      <c r="M44" s="66"/>
      <c r="N44" s="135"/>
      <c r="O44" s="135"/>
      <c r="P44" s="129"/>
      <c r="Q44" s="129"/>
      <c r="R44" s="37"/>
      <c r="S44" s="37"/>
      <c r="T44" s="37"/>
      <c r="U44" s="16" t="s">
        <v>180</v>
      </c>
    </row>
    <row r="45" spans="1:24" s="16" customFormat="1" ht="16.8" customHeight="1" thickBot="1" x14ac:dyDescent="0.35">
      <c r="A45" s="62"/>
      <c r="B45" s="62"/>
      <c r="C45" s="942" t="s">
        <v>66</v>
      </c>
      <c r="D45" s="943"/>
      <c r="E45" s="180">
        <f>E44*C56</f>
        <v>5.7987326399999997E-2</v>
      </c>
      <c r="F45" s="190"/>
      <c r="G45" s="63"/>
      <c r="H45" s="63"/>
      <c r="I45" s="63"/>
      <c r="J45" s="64"/>
      <c r="K45" s="65"/>
      <c r="L45" s="64"/>
      <c r="M45" s="66"/>
      <c r="N45" s="135"/>
      <c r="O45" s="135"/>
      <c r="P45" s="129"/>
      <c r="Q45" s="129"/>
      <c r="R45" s="37"/>
      <c r="S45" s="37"/>
      <c r="T45" s="37"/>
    </row>
    <row r="46" spans="1:24" s="16" customFormat="1" ht="15" thickBot="1" x14ac:dyDescent="0.35">
      <c r="A46" s="62"/>
      <c r="B46" s="62"/>
      <c r="C46" s="891" t="s">
        <v>64</v>
      </c>
      <c r="D46" s="892"/>
      <c r="E46" s="270">
        <f>IF((D40-F40)&lt;F57,G57/1000,IF((D40-F40)&lt;F58,G58/1000,IF((D40-F40)&lt;F59,(G59/1000),G60/1000)))</f>
        <v>0.02</v>
      </c>
      <c r="F46" s="65" t="s">
        <v>56</v>
      </c>
      <c r="G46" s="63"/>
      <c r="H46" s="63"/>
      <c r="I46" s="63"/>
      <c r="J46" s="64"/>
      <c r="K46" s="65"/>
      <c r="L46" s="64"/>
      <c r="M46" s="66"/>
      <c r="N46" s="129"/>
      <c r="O46" s="129"/>
      <c r="P46" s="135"/>
      <c r="Q46" s="135"/>
      <c r="R46" s="37"/>
      <c r="S46" s="37"/>
      <c r="T46" s="37"/>
    </row>
    <row r="47" spans="1:24" s="16" customFormat="1" x14ac:dyDescent="0.3">
      <c r="A47" s="62"/>
      <c r="B47" s="62"/>
      <c r="C47" s="917" t="s">
        <v>171</v>
      </c>
      <c r="D47" s="918"/>
      <c r="E47" s="271">
        <f>1/L40</f>
        <v>7.8679760098271351E-2</v>
      </c>
      <c r="F47" s="64" t="s">
        <v>67</v>
      </c>
      <c r="G47" s="63"/>
      <c r="H47" s="63"/>
      <c r="I47" s="63"/>
      <c r="J47" s="64"/>
      <c r="K47" s="65"/>
      <c r="L47" s="64"/>
      <c r="M47" s="998" t="s">
        <v>248</v>
      </c>
      <c r="N47" s="999"/>
      <c r="O47" s="999"/>
      <c r="P47" s="999"/>
      <c r="Q47" s="999"/>
      <c r="R47" s="1000"/>
      <c r="S47" s="37"/>
      <c r="T47" s="37"/>
    </row>
    <row r="48" spans="1:24" s="16" customFormat="1" x14ac:dyDescent="0.3">
      <c r="A48" s="62"/>
      <c r="B48" s="62"/>
      <c r="C48" s="917" t="s">
        <v>177</v>
      </c>
      <c r="D48" s="918"/>
      <c r="E48" s="272">
        <f>E46/E45</f>
        <v>0.34490295106966684</v>
      </c>
      <c r="F48" s="65"/>
      <c r="G48" s="63"/>
      <c r="H48" s="63"/>
      <c r="I48" s="63"/>
      <c r="J48" s="64"/>
      <c r="K48" s="65"/>
      <c r="L48" s="64"/>
      <c r="M48" s="1001"/>
      <c r="N48" s="1002"/>
      <c r="O48" s="1002"/>
      <c r="P48" s="1002"/>
      <c r="Q48" s="1002"/>
      <c r="R48" s="1003"/>
      <c r="S48" s="344" t="s">
        <v>193</v>
      </c>
      <c r="T48" s="344" t="s">
        <v>192</v>
      </c>
    </row>
    <row r="49" spans="1:21" s="16" customFormat="1" ht="15" thickBot="1" x14ac:dyDescent="0.35">
      <c r="A49" s="62"/>
      <c r="B49" s="62"/>
      <c r="C49" s="919" t="s">
        <v>123</v>
      </c>
      <c r="D49" s="885"/>
      <c r="E49" s="273">
        <f>M40-(10000*D63/I40/H40)</f>
        <v>582.15411525000991</v>
      </c>
      <c r="F49" s="16" t="s">
        <v>118</v>
      </c>
      <c r="G49" s="63"/>
      <c r="H49" s="63"/>
      <c r="I49" s="63"/>
      <c r="J49" s="64"/>
      <c r="K49" s="65"/>
      <c r="L49" s="64"/>
      <c r="M49" s="1004"/>
      <c r="N49" s="1005"/>
      <c r="O49" s="1005"/>
      <c r="P49" s="1005"/>
      <c r="Q49" s="1005"/>
      <c r="R49" s="1006"/>
      <c r="S49" s="37"/>
      <c r="T49" s="37" t="s">
        <v>222</v>
      </c>
    </row>
    <row r="50" spans="1:21" s="16" customFormat="1" x14ac:dyDescent="0.3">
      <c r="A50" s="62"/>
      <c r="B50" s="62"/>
      <c r="C50" s="62"/>
      <c r="D50" s="63"/>
      <c r="E50" s="64"/>
      <c r="F50" s="63"/>
      <c r="G50" s="63"/>
      <c r="H50" s="63"/>
      <c r="I50" s="63"/>
      <c r="J50" s="64"/>
      <c r="K50" s="65"/>
      <c r="L50" s="64"/>
      <c r="M50" s="66"/>
      <c r="N50" s="129"/>
      <c r="O50" s="129"/>
      <c r="P50" s="135"/>
      <c r="Q50" s="135"/>
      <c r="R50" s="37"/>
      <c r="S50" s="37"/>
      <c r="T50" s="37"/>
    </row>
    <row r="51" spans="1:21" s="16" customFormat="1" ht="15" thickBot="1" x14ac:dyDescent="0.35">
      <c r="A51" s="922" t="s">
        <v>119</v>
      </c>
      <c r="B51" s="922"/>
      <c r="C51" s="922"/>
      <c r="D51" s="922"/>
      <c r="E51" s="922"/>
      <c r="F51" s="922"/>
      <c r="G51" s="922"/>
      <c r="H51" s="922"/>
      <c r="I51" s="922"/>
      <c r="J51" s="922"/>
      <c r="K51" s="922"/>
      <c r="L51" s="922"/>
      <c r="M51" s="922"/>
      <c r="N51" s="922"/>
      <c r="O51" s="922"/>
      <c r="P51" s="922"/>
      <c r="Q51" s="922"/>
      <c r="R51" s="922"/>
      <c r="S51" s="922"/>
      <c r="T51" s="922"/>
      <c r="U51" s="16" t="s">
        <v>92</v>
      </c>
    </row>
    <row r="52" spans="1:21" s="2" customFormat="1" ht="15" thickBot="1" x14ac:dyDescent="0.35">
      <c r="A52" s="928" t="s">
        <v>174</v>
      </c>
      <c r="B52" s="921"/>
      <c r="C52" s="921"/>
      <c r="D52" s="262">
        <v>3.1415999999999999</v>
      </c>
      <c r="E52" s="138"/>
      <c r="F52" s="138"/>
      <c r="G52" s="138"/>
      <c r="H52" s="138"/>
      <c r="I52" s="138"/>
      <c r="J52" s="139"/>
      <c r="K52" s="140"/>
      <c r="L52" s="139"/>
      <c r="M52" s="141"/>
      <c r="N52" s="157"/>
      <c r="O52" s="157"/>
      <c r="P52" s="143"/>
      <c r="Q52" s="143"/>
      <c r="R52" s="144"/>
      <c r="S52" s="144"/>
      <c r="T52" s="144"/>
    </row>
    <row r="53" spans="1:21" s="2" customFormat="1" ht="15" thickBot="1" x14ac:dyDescent="0.35">
      <c r="A53" s="920" t="s">
        <v>90</v>
      </c>
      <c r="B53" s="921"/>
      <c r="C53" s="921"/>
      <c r="D53" s="279">
        <v>5.6703669999999997E-8</v>
      </c>
      <c r="E53" s="138"/>
      <c r="F53" s="138"/>
      <c r="G53" s="138"/>
      <c r="H53" s="138"/>
      <c r="I53" s="138"/>
      <c r="J53" s="139"/>
      <c r="K53" s="140"/>
      <c r="L53" s="139"/>
      <c r="M53" s="141"/>
      <c r="N53" s="157"/>
      <c r="O53" s="157"/>
      <c r="P53" s="143"/>
      <c r="Q53" s="143"/>
      <c r="R53" s="144"/>
      <c r="S53" s="144"/>
      <c r="T53" s="144"/>
    </row>
    <row r="54" spans="1:21" s="2" customFormat="1" ht="15" thickBot="1" x14ac:dyDescent="0.35">
      <c r="A54" s="126"/>
      <c r="B54" s="280"/>
      <c r="C54" s="280"/>
      <c r="D54" s="156"/>
      <c r="E54" s="138"/>
      <c r="F54" s="138"/>
      <c r="G54" s="138"/>
      <c r="H54" s="138"/>
      <c r="I54" s="138"/>
      <c r="J54" s="139"/>
      <c r="K54" s="140"/>
      <c r="L54" s="139"/>
      <c r="M54" s="141"/>
      <c r="N54" s="157"/>
      <c r="O54" s="157"/>
      <c r="P54" s="143"/>
      <c r="Q54" s="143"/>
      <c r="R54" s="144"/>
      <c r="S54" s="144"/>
      <c r="T54" s="144"/>
    </row>
    <row r="55" spans="1:21" s="2" customFormat="1" ht="15" thickBot="1" x14ac:dyDescent="0.35">
      <c r="A55" s="137"/>
      <c r="B55" s="923" t="s">
        <v>120</v>
      </c>
      <c r="C55" s="924"/>
      <c r="D55" s="137"/>
      <c r="E55" s="925" t="s">
        <v>122</v>
      </c>
      <c r="F55" s="926"/>
      <c r="G55" s="927"/>
      <c r="H55" s="138"/>
      <c r="I55" s="138"/>
      <c r="J55" s="139"/>
      <c r="K55" s="140"/>
      <c r="L55" s="139"/>
      <c r="M55" s="141"/>
      <c r="N55" s="157"/>
      <c r="O55" s="157"/>
      <c r="P55" s="143"/>
      <c r="Q55" s="143"/>
      <c r="R55" s="144"/>
      <c r="S55" s="144"/>
      <c r="T55" s="144"/>
    </row>
    <row r="56" spans="1:21" s="2" customFormat="1" ht="15" thickBot="1" x14ac:dyDescent="0.35">
      <c r="A56" s="126"/>
      <c r="B56" s="98" t="s">
        <v>63</v>
      </c>
      <c r="C56" s="258">
        <v>1.5</v>
      </c>
      <c r="D56" s="138"/>
      <c r="E56" s="75"/>
      <c r="F56" s="76" t="s">
        <v>75</v>
      </c>
      <c r="G56" s="105" t="s">
        <v>319</v>
      </c>
      <c r="H56" s="105" t="s">
        <v>320</v>
      </c>
      <c r="I56" s="139"/>
      <c r="J56" s="140"/>
      <c r="K56" s="139"/>
      <c r="L56" s="141"/>
      <c r="M56" s="157"/>
      <c r="N56" s="157"/>
      <c r="O56" s="143"/>
      <c r="P56" s="143"/>
      <c r="Q56" s="144"/>
      <c r="R56" s="144"/>
      <c r="S56" s="144"/>
      <c r="T56" s="145"/>
    </row>
    <row r="57" spans="1:21" s="2" customFormat="1" x14ac:dyDescent="0.3">
      <c r="A57" s="126"/>
      <c r="B57" s="73" t="s">
        <v>57</v>
      </c>
      <c r="C57" s="96">
        <f>0.0338</f>
        <v>3.3799999999999997E-2</v>
      </c>
      <c r="D57" s="138"/>
      <c r="E57" s="77" t="s">
        <v>91</v>
      </c>
      <c r="F57" s="245">
        <v>80</v>
      </c>
      <c r="G57" s="104">
        <v>20</v>
      </c>
      <c r="H57" s="104">
        <v>100</v>
      </c>
      <c r="I57" s="139"/>
      <c r="J57" s="140"/>
      <c r="K57" s="139"/>
      <c r="L57" s="141"/>
      <c r="M57" s="157"/>
      <c r="N57" s="157"/>
      <c r="O57" s="143"/>
      <c r="P57" s="143"/>
      <c r="Q57" s="144"/>
      <c r="R57" s="144"/>
      <c r="S57" s="144"/>
      <c r="T57" s="145"/>
    </row>
    <row r="58" spans="1:21" s="2" customFormat="1" x14ac:dyDescent="0.3">
      <c r="A58" s="126"/>
      <c r="B58" s="73" t="s">
        <v>58</v>
      </c>
      <c r="C58" s="96">
        <v>1.1730000000000001E-4</v>
      </c>
      <c r="D58" s="138"/>
      <c r="E58" s="77" t="s">
        <v>91</v>
      </c>
      <c r="F58" s="245">
        <v>150</v>
      </c>
      <c r="G58" s="104">
        <v>30</v>
      </c>
      <c r="H58" s="104">
        <v>180</v>
      </c>
      <c r="I58" s="139"/>
      <c r="J58" s="140"/>
      <c r="K58" s="139"/>
      <c r="L58" s="141"/>
      <c r="M58" s="157"/>
      <c r="N58" s="157"/>
      <c r="O58" s="143"/>
      <c r="P58" s="143"/>
      <c r="Q58" s="144"/>
      <c r="R58" s="144"/>
      <c r="S58" s="144"/>
      <c r="T58" s="145"/>
    </row>
    <row r="59" spans="1:21" s="2" customFormat="1" x14ac:dyDescent="0.3">
      <c r="A59" s="126"/>
      <c r="B59" s="73" t="s">
        <v>59</v>
      </c>
      <c r="C59" s="96">
        <v>7.5450000000000004E-8</v>
      </c>
      <c r="D59" s="138"/>
      <c r="E59" s="77" t="s">
        <v>91</v>
      </c>
      <c r="F59" s="245">
        <v>250</v>
      </c>
      <c r="G59" s="104">
        <v>50</v>
      </c>
      <c r="H59" s="104">
        <v>250</v>
      </c>
      <c r="I59" s="139"/>
      <c r="J59" s="140"/>
      <c r="K59" s="139"/>
      <c r="L59" s="141"/>
      <c r="M59" s="157"/>
      <c r="N59" s="157"/>
      <c r="O59" s="143"/>
      <c r="P59" s="143"/>
      <c r="Q59" s="144"/>
      <c r="R59" s="144"/>
      <c r="S59" s="144"/>
      <c r="T59" s="145"/>
    </row>
    <row r="60" spans="1:21" customFormat="1" ht="15" thickBot="1" x14ac:dyDescent="0.35">
      <c r="A60" s="72"/>
      <c r="B60" s="74" t="s">
        <v>60</v>
      </c>
      <c r="C60" s="97">
        <v>7.109E-10</v>
      </c>
      <c r="D60" s="138"/>
      <c r="E60" s="77" t="s">
        <v>91</v>
      </c>
      <c r="F60" s="245"/>
      <c r="G60" s="104">
        <v>80</v>
      </c>
      <c r="H60" s="104">
        <v>300</v>
      </c>
      <c r="I60" s="141"/>
      <c r="J60" s="145"/>
      <c r="K60" s="145"/>
      <c r="L60" s="143"/>
      <c r="M60" s="143"/>
      <c r="N60" s="145"/>
      <c r="O60" s="143"/>
      <c r="P60" s="146"/>
      <c r="Q60" s="144"/>
      <c r="R60" s="144"/>
      <c r="S60" s="144"/>
      <c r="T60" s="145"/>
    </row>
    <row r="61" spans="1:21" customFormat="1" x14ac:dyDescent="0.3">
      <c r="A61" s="72"/>
      <c r="B61" s="155"/>
      <c r="C61" s="156"/>
      <c r="D61" s="138"/>
      <c r="E61" s="138"/>
      <c r="F61" s="139"/>
      <c r="G61" s="140"/>
      <c r="H61" s="139"/>
      <c r="I61" s="141"/>
      <c r="J61" s="145"/>
      <c r="K61" s="145"/>
      <c r="L61" s="143"/>
      <c r="M61" s="143"/>
      <c r="N61" s="145"/>
      <c r="O61" s="916" t="s">
        <v>153</v>
      </c>
      <c r="P61" s="916"/>
      <c r="Q61" s="916"/>
      <c r="R61" s="916"/>
      <c r="S61" s="916"/>
      <c r="T61" s="916"/>
    </row>
    <row r="62" spans="1:21" customFormat="1" x14ac:dyDescent="0.3">
      <c r="A62" s="72"/>
      <c r="B62" s="159"/>
      <c r="C62" s="160"/>
      <c r="D62" s="161"/>
      <c r="E62" s="159"/>
      <c r="F62" s="159"/>
      <c r="G62" s="159"/>
      <c r="H62" s="139"/>
      <c r="I62" s="141"/>
      <c r="J62" s="145"/>
      <c r="K62" s="145"/>
      <c r="L62" s="143"/>
      <c r="M62" s="143"/>
      <c r="N62" s="145"/>
      <c r="O62" s="906" t="s">
        <v>154</v>
      </c>
      <c r="P62" s="906"/>
      <c r="Q62" s="906"/>
      <c r="R62" s="242">
        <v>80</v>
      </c>
      <c r="S62" s="204" t="s">
        <v>72</v>
      </c>
      <c r="T62" s="205"/>
    </row>
    <row r="63" spans="1:21" customFormat="1" x14ac:dyDescent="0.3">
      <c r="A63" s="274"/>
      <c r="B63" s="275" t="s">
        <v>147</v>
      </c>
      <c r="C63" s="276"/>
      <c r="D63" s="277">
        <v>1.6</v>
      </c>
      <c r="E63" s="159"/>
      <c r="F63" s="159"/>
      <c r="G63" s="159"/>
      <c r="H63" s="139"/>
      <c r="I63" s="141"/>
      <c r="J63" s="145"/>
      <c r="K63" s="96"/>
      <c r="L63" s="143"/>
      <c r="M63" s="143"/>
      <c r="N63" s="145"/>
      <c r="O63" s="906" t="s">
        <v>155</v>
      </c>
      <c r="P63" s="906"/>
      <c r="Q63" s="906"/>
      <c r="R63" s="242">
        <v>250</v>
      </c>
      <c r="S63" s="204" t="s">
        <v>72</v>
      </c>
      <c r="T63" s="205"/>
    </row>
    <row r="64" spans="1:21" customFormat="1" x14ac:dyDescent="0.3">
      <c r="A64" s="274"/>
      <c r="B64" s="275" t="s">
        <v>148</v>
      </c>
      <c r="C64" s="276"/>
      <c r="D64" s="277">
        <v>5</v>
      </c>
      <c r="E64" s="159"/>
      <c r="F64" s="159"/>
      <c r="G64" s="159"/>
      <c r="H64" s="139"/>
      <c r="I64" s="141"/>
      <c r="J64" s="145"/>
      <c r="K64" s="145"/>
      <c r="L64" s="143"/>
      <c r="M64" s="143"/>
      <c r="N64" s="145"/>
      <c r="O64" s="906" t="s">
        <v>74</v>
      </c>
      <c r="P64" s="906"/>
      <c r="Q64" s="906"/>
      <c r="R64" s="242">
        <v>5</v>
      </c>
      <c r="S64" s="204" t="s">
        <v>73</v>
      </c>
      <c r="T64" s="205"/>
    </row>
    <row r="65" spans="1:27" customFormat="1" x14ac:dyDescent="0.3">
      <c r="A65" s="907" t="s">
        <v>96</v>
      </c>
      <c r="B65" s="907"/>
      <c r="C65" s="907"/>
      <c r="D65" s="278">
        <v>55</v>
      </c>
      <c r="E65" s="163" t="s">
        <v>23</v>
      </c>
      <c r="F65" s="139"/>
      <c r="G65" s="140"/>
      <c r="H65" s="139"/>
      <c r="I65" s="141"/>
      <c r="J65" s="145"/>
      <c r="K65" s="145"/>
      <c r="L65" s="143"/>
      <c r="M65" s="143"/>
      <c r="N65" s="145"/>
      <c r="O65" s="906" t="s">
        <v>157</v>
      </c>
      <c r="P65" s="906"/>
      <c r="Q65" s="906"/>
      <c r="R65" s="243">
        <f>0.1*R62/R64</f>
        <v>1.6</v>
      </c>
      <c r="S65" s="204"/>
      <c r="T65" s="205"/>
      <c r="U65" t="s">
        <v>124</v>
      </c>
    </row>
    <row r="66" spans="1:27" customFormat="1" x14ac:dyDescent="0.3">
      <c r="A66" s="72"/>
      <c r="B66" s="155"/>
      <c r="C66" s="156"/>
      <c r="D66" s="138"/>
      <c r="E66" s="138"/>
      <c r="F66" s="139"/>
      <c r="G66" s="140"/>
      <c r="H66" s="139"/>
      <c r="I66" s="141"/>
      <c r="J66" s="145"/>
      <c r="K66" s="145"/>
      <c r="L66" s="143"/>
      <c r="M66" s="143"/>
      <c r="N66" s="145"/>
      <c r="O66" s="906" t="s">
        <v>158</v>
      </c>
      <c r="P66" s="906"/>
      <c r="Q66" s="906"/>
      <c r="R66" s="244">
        <f>0.1*R63/R64</f>
        <v>5</v>
      </c>
      <c r="S66" s="206"/>
      <c r="T66" s="205"/>
    </row>
    <row r="67" spans="1:27" customFormat="1" x14ac:dyDescent="0.3">
      <c r="A67" s="72"/>
      <c r="B67" s="155"/>
      <c r="C67" s="156"/>
      <c r="D67" s="138"/>
      <c r="E67" s="138"/>
      <c r="F67" s="139"/>
      <c r="G67" s="140"/>
      <c r="H67" s="139"/>
      <c r="I67" s="141"/>
      <c r="J67" s="145"/>
      <c r="K67" s="145"/>
      <c r="L67" s="143"/>
      <c r="M67" s="143"/>
      <c r="N67" s="145"/>
      <c r="O67" s="259"/>
      <c r="P67" s="260"/>
      <c r="Q67" s="261"/>
      <c r="R67" s="261"/>
      <c r="S67" s="261"/>
      <c r="T67" s="205"/>
    </row>
    <row r="68" spans="1:27" x14ac:dyDescent="0.3">
      <c r="A68" s="905" t="s">
        <v>52</v>
      </c>
      <c r="B68" s="905"/>
      <c r="C68" s="905"/>
      <c r="D68" s="905"/>
      <c r="E68" s="905"/>
      <c r="F68" s="905"/>
      <c r="G68" s="905"/>
      <c r="H68" s="905"/>
      <c r="I68" s="905"/>
      <c r="J68" s="905"/>
      <c r="K68" s="905"/>
      <c r="L68" s="905"/>
      <c r="M68" s="905"/>
      <c r="N68" s="905"/>
      <c r="O68" s="905"/>
      <c r="P68" s="905"/>
      <c r="Q68" s="905"/>
      <c r="R68" s="905"/>
      <c r="S68" s="905"/>
      <c r="T68" s="905"/>
      <c r="AA68" s="16"/>
    </row>
    <row r="70" spans="1:27" ht="22.8" x14ac:dyDescent="0.3">
      <c r="A70" s="92" t="s">
        <v>329</v>
      </c>
    </row>
    <row r="71" spans="1:27" ht="22.8" x14ac:dyDescent="0.3">
      <c r="A71" s="92"/>
    </row>
    <row r="72" spans="1:27" ht="22.8" x14ac:dyDescent="0.3">
      <c r="A72" s="92"/>
    </row>
    <row r="73" spans="1:27" ht="22.8" x14ac:dyDescent="0.3">
      <c r="A73" s="92"/>
      <c r="W73" s="17"/>
      <c r="X73" s="17"/>
      <c r="Y73" s="17"/>
      <c r="Z73" s="17"/>
    </row>
    <row r="74" spans="1:27" ht="22.8" x14ac:dyDescent="0.3">
      <c r="A74" s="92"/>
      <c r="W74" s="17"/>
      <c r="X74" s="17"/>
      <c r="Y74" s="17"/>
      <c r="Z74" s="17"/>
    </row>
    <row r="75" spans="1:27" x14ac:dyDescent="0.3">
      <c r="A75" s="93"/>
    </row>
    <row r="76" spans="1:27" ht="23.4" x14ac:dyDescent="0.3">
      <c r="A76" s="94"/>
    </row>
    <row r="77" spans="1:27" x14ac:dyDescent="0.3">
      <c r="A77" s="93"/>
    </row>
    <row r="78" spans="1:27" ht="22.8" x14ac:dyDescent="0.3">
      <c r="A78" s="91"/>
    </row>
    <row r="79" spans="1:27" ht="22.8" x14ac:dyDescent="0.3">
      <c r="A79" s="91"/>
    </row>
    <row r="80" spans="1:27" ht="22.8" x14ac:dyDescent="0.3">
      <c r="A80" s="91"/>
    </row>
    <row r="81" spans="1:20" ht="22.8" x14ac:dyDescent="0.3">
      <c r="A81" s="92"/>
    </row>
    <row r="82" spans="1:20" ht="22.8" x14ac:dyDescent="0.3">
      <c r="A82" s="70"/>
    </row>
    <row r="83" spans="1:20" ht="22.8" x14ac:dyDescent="0.3">
      <c r="A83" s="70"/>
    </row>
    <row r="94" spans="1:20" ht="43.2" x14ac:dyDescent="0.3">
      <c r="A94" s="893" t="s">
        <v>5</v>
      </c>
      <c r="B94" s="894"/>
      <c r="C94" s="577" t="s">
        <v>37</v>
      </c>
      <c r="D94" s="88" t="s">
        <v>43</v>
      </c>
      <c r="E94" s="88" t="s">
        <v>30</v>
      </c>
      <c r="F94" s="88" t="s">
        <v>31</v>
      </c>
      <c r="G94" s="90" t="s">
        <v>88</v>
      </c>
      <c r="H94" s="88" t="s">
        <v>69</v>
      </c>
      <c r="I94" s="88" t="s">
        <v>68</v>
      </c>
      <c r="J94" s="89" t="s">
        <v>14</v>
      </c>
      <c r="K94" s="89" t="s">
        <v>29</v>
      </c>
      <c r="L94" s="89" t="s">
        <v>27</v>
      </c>
      <c r="M94" s="84" t="s">
        <v>28</v>
      </c>
      <c r="N94" s="86" t="s">
        <v>94</v>
      </c>
      <c r="O94" s="86" t="s">
        <v>95</v>
      </c>
      <c r="P94" s="574" t="s">
        <v>70</v>
      </c>
      <c r="Q94" s="574"/>
      <c r="R94" s="895"/>
      <c r="S94" s="895"/>
      <c r="T94" s="895"/>
    </row>
    <row r="95" spans="1:20" ht="18" x14ac:dyDescent="0.3">
      <c r="A95" s="886"/>
      <c r="B95" s="886"/>
      <c r="C95" s="591"/>
      <c r="D95" s="263"/>
      <c r="E95" s="264"/>
      <c r="F95" s="264"/>
      <c r="G95" s="265"/>
      <c r="H95" s="264"/>
      <c r="I95" s="265"/>
      <c r="J95" s="588">
        <v>1</v>
      </c>
      <c r="K95" s="588">
        <v>2</v>
      </c>
      <c r="L95" s="588">
        <v>3</v>
      </c>
      <c r="M95" s="588">
        <v>4</v>
      </c>
      <c r="N95" s="590">
        <v>5</v>
      </c>
      <c r="O95" s="590">
        <v>6</v>
      </c>
      <c r="P95" s="127" t="s">
        <v>71</v>
      </c>
      <c r="Q95" s="127" t="s">
        <v>24</v>
      </c>
      <c r="R95" s="896"/>
      <c r="S95" s="896"/>
      <c r="T95" s="896"/>
    </row>
    <row r="96" spans="1:20" ht="15.6" x14ac:dyDescent="0.3">
      <c r="A96" s="886" t="s">
        <v>321</v>
      </c>
      <c r="B96" s="886"/>
      <c r="C96" s="591"/>
      <c r="D96" s="263"/>
      <c r="E96" s="266"/>
      <c r="F96" s="264"/>
      <c r="G96" s="265"/>
      <c r="H96" s="264"/>
      <c r="I96" s="265"/>
      <c r="J96" s="588">
        <v>1</v>
      </c>
      <c r="K96" s="588">
        <v>2</v>
      </c>
      <c r="L96" s="588">
        <v>3</v>
      </c>
      <c r="M96" s="267">
        <v>20</v>
      </c>
      <c r="N96" s="267">
        <v>5</v>
      </c>
      <c r="O96" s="267">
        <v>6</v>
      </c>
      <c r="P96" s="590">
        <v>26</v>
      </c>
      <c r="Q96" s="590">
        <v>28</v>
      </c>
      <c r="R96" s="570"/>
      <c r="S96" s="570"/>
      <c r="T96" s="570"/>
    </row>
    <row r="97" spans="1:20" ht="31.2" x14ac:dyDescent="0.3">
      <c r="A97" s="62"/>
      <c r="B97" s="62"/>
      <c r="C97" s="246"/>
      <c r="D97" s="247"/>
      <c r="E97" s="248"/>
      <c r="F97" s="249"/>
      <c r="G97" s="250"/>
      <c r="H97" s="251"/>
      <c r="I97" s="250"/>
      <c r="J97" s="64"/>
      <c r="K97" s="65"/>
      <c r="L97" s="64"/>
      <c r="M97" s="84" t="s">
        <v>178</v>
      </c>
      <c r="N97" s="575"/>
      <c r="O97" s="575"/>
      <c r="P97" s="129"/>
      <c r="Q97" s="129"/>
      <c r="R97" s="570"/>
      <c r="S97" s="570"/>
      <c r="T97" s="570"/>
    </row>
    <row r="98" spans="1:20" ht="18" x14ac:dyDescent="0.3">
      <c r="A98" s="68"/>
      <c r="B98" s="62"/>
      <c r="C98" s="1008" t="s">
        <v>61</v>
      </c>
      <c r="D98" s="1009"/>
      <c r="E98" s="588">
        <v>7</v>
      </c>
      <c r="F98" s="269"/>
      <c r="G98" s="63"/>
      <c r="H98" s="63"/>
      <c r="I98" s="63"/>
      <c r="J98" s="64"/>
      <c r="K98" s="65"/>
      <c r="L98" s="64"/>
      <c r="M98" s="81"/>
      <c r="N98" s="81"/>
      <c r="O98" s="81"/>
      <c r="P98" s="576"/>
      <c r="Q98" s="576"/>
      <c r="R98" s="570"/>
      <c r="S98" s="570"/>
      <c r="T98" s="570"/>
    </row>
    <row r="99" spans="1:20" ht="15.6" x14ac:dyDescent="0.3">
      <c r="A99" s="62"/>
      <c r="B99" s="62"/>
      <c r="C99" s="940" t="s">
        <v>62</v>
      </c>
      <c r="D99" s="941"/>
      <c r="E99" s="588">
        <v>9</v>
      </c>
      <c r="F99" s="190"/>
      <c r="G99" s="63"/>
      <c r="H99" s="63"/>
      <c r="I99" s="63"/>
      <c r="J99" s="64"/>
      <c r="K99" s="65"/>
      <c r="L99" s="64"/>
      <c r="M99" s="66"/>
      <c r="N99" s="135"/>
      <c r="O99" s="135"/>
      <c r="P99" s="129"/>
      <c r="Q99" s="129"/>
      <c r="R99" s="570"/>
      <c r="S99" s="570"/>
      <c r="T99" s="570"/>
    </row>
    <row r="100" spans="1:20" ht="16.2" thickBot="1" x14ac:dyDescent="0.35">
      <c r="A100" s="62"/>
      <c r="B100" s="62"/>
      <c r="C100" s="942" t="s">
        <v>66</v>
      </c>
      <c r="D100" s="943"/>
      <c r="E100" s="588">
        <v>11</v>
      </c>
      <c r="F100" s="190"/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  <c r="R100" s="570"/>
      <c r="S100" s="570"/>
      <c r="T100" s="570"/>
    </row>
    <row r="101" spans="1:20" ht="16.2" thickBot="1" x14ac:dyDescent="0.35">
      <c r="A101" s="62"/>
      <c r="B101" s="62"/>
      <c r="C101" s="891" t="s">
        <v>64</v>
      </c>
      <c r="D101" s="892"/>
      <c r="E101" s="588">
        <v>13</v>
      </c>
      <c r="F101" s="65" t="s">
        <v>56</v>
      </c>
      <c r="G101" s="63"/>
      <c r="H101" s="63"/>
      <c r="I101" s="63"/>
      <c r="J101" s="64"/>
      <c r="K101" s="65"/>
      <c r="L101" s="64"/>
      <c r="M101" s="66"/>
      <c r="N101" s="129"/>
      <c r="O101" s="129"/>
      <c r="P101" s="135"/>
      <c r="Q101" s="135"/>
      <c r="R101" s="570"/>
      <c r="S101" s="570"/>
      <c r="T101" s="570"/>
    </row>
    <row r="102" spans="1:20" ht="15.6" x14ac:dyDescent="0.3">
      <c r="A102" s="62"/>
      <c r="B102" s="62"/>
      <c r="C102" s="917" t="s">
        <v>171</v>
      </c>
      <c r="D102" s="918"/>
      <c r="E102" s="588">
        <v>15</v>
      </c>
      <c r="F102" s="64" t="s">
        <v>67</v>
      </c>
      <c r="G102" s="63"/>
      <c r="H102" s="63"/>
      <c r="I102" s="63"/>
      <c r="J102" s="64"/>
      <c r="K102" s="65"/>
      <c r="L102" s="64"/>
      <c r="M102" s="998">
        <v>31</v>
      </c>
      <c r="N102" s="999"/>
      <c r="O102" s="999"/>
      <c r="P102" s="999"/>
      <c r="Q102" s="999"/>
      <c r="R102" s="1000"/>
      <c r="S102" s="570"/>
      <c r="T102" s="570"/>
    </row>
    <row r="103" spans="1:20" ht="15.6" x14ac:dyDescent="0.3">
      <c r="A103" s="62"/>
      <c r="B103" s="62"/>
      <c r="C103" s="917" t="s">
        <v>177</v>
      </c>
      <c r="D103" s="918"/>
      <c r="E103" s="588">
        <v>17</v>
      </c>
      <c r="F103" s="65"/>
      <c r="G103" s="63"/>
      <c r="H103" s="63"/>
      <c r="I103" s="63"/>
      <c r="J103" s="64"/>
      <c r="K103" s="65"/>
      <c r="L103" s="64"/>
      <c r="M103" s="1001"/>
      <c r="N103" s="1002"/>
      <c r="O103" s="1002"/>
      <c r="P103" s="1002"/>
      <c r="Q103" s="1002"/>
      <c r="R103" s="1003"/>
      <c r="S103" s="344" t="s">
        <v>193</v>
      </c>
      <c r="T103" s="344" t="s">
        <v>192</v>
      </c>
    </row>
    <row r="104" spans="1:20" ht="16.2" thickBot="1" x14ac:dyDescent="0.35">
      <c r="A104" s="62"/>
      <c r="B104" s="62"/>
      <c r="C104" s="919" t="s">
        <v>123</v>
      </c>
      <c r="D104" s="885"/>
      <c r="E104" s="588">
        <v>19</v>
      </c>
      <c r="F104" s="16" t="s">
        <v>118</v>
      </c>
      <c r="G104" s="63"/>
      <c r="H104" s="63"/>
      <c r="I104" s="63"/>
      <c r="J104" s="64"/>
      <c r="K104" s="65"/>
      <c r="L104" s="64"/>
      <c r="M104" s="1004"/>
      <c r="N104" s="1005"/>
      <c r="O104" s="1005"/>
      <c r="P104" s="1005"/>
      <c r="Q104" s="1005"/>
      <c r="R104" s="1006"/>
      <c r="S104" s="570"/>
      <c r="T104" s="570" t="s">
        <v>222</v>
      </c>
    </row>
    <row r="105" spans="1:20" x14ac:dyDescent="0.3">
      <c r="A105" s="62"/>
      <c r="B105" s="62"/>
      <c r="C105" s="62"/>
      <c r="D105" s="63"/>
      <c r="E105" s="64"/>
      <c r="F105" s="63"/>
      <c r="G105" s="63"/>
      <c r="H105" s="63"/>
      <c r="I105" s="63"/>
      <c r="J105" s="64"/>
      <c r="K105" s="65"/>
      <c r="L105" s="64"/>
      <c r="M105" s="66"/>
      <c r="N105" s="129"/>
      <c r="O105" s="129"/>
      <c r="P105" s="135"/>
      <c r="Q105" s="135"/>
      <c r="R105" s="570"/>
      <c r="S105" s="570"/>
      <c r="T105" s="570"/>
    </row>
  </sheetData>
  <mergeCells count="71">
    <mergeCell ref="M102:R104"/>
    <mergeCell ref="C103:D103"/>
    <mergeCell ref="C104:D104"/>
    <mergeCell ref="C98:D98"/>
    <mergeCell ref="C99:D99"/>
    <mergeCell ref="C100:D100"/>
    <mergeCell ref="C101:D101"/>
    <mergeCell ref="C102:D102"/>
    <mergeCell ref="A94:B94"/>
    <mergeCell ref="R94:T94"/>
    <mergeCell ref="A95:B95"/>
    <mergeCell ref="R95:T95"/>
    <mergeCell ref="A96:B96"/>
    <mergeCell ref="U14:X14"/>
    <mergeCell ref="P8:P9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O18:P19"/>
    <mergeCell ref="Q18:R19"/>
    <mergeCell ref="O20:P21"/>
    <mergeCell ref="Q20:R21"/>
    <mergeCell ref="C21:E22"/>
    <mergeCell ref="F21:G22"/>
    <mergeCell ref="H21:H22"/>
    <mergeCell ref="C25:E26"/>
    <mergeCell ref="F25:G26"/>
    <mergeCell ref="H25:H26"/>
    <mergeCell ref="M25:P27"/>
    <mergeCell ref="A39:B39"/>
    <mergeCell ref="A41:B41"/>
    <mergeCell ref="R39:T39"/>
    <mergeCell ref="R40:T40"/>
    <mergeCell ref="U39:X39"/>
    <mergeCell ref="O64:Q64"/>
    <mergeCell ref="C49:D49"/>
    <mergeCell ref="A53:C53"/>
    <mergeCell ref="A52:C52"/>
    <mergeCell ref="C43:D43"/>
    <mergeCell ref="C44:D44"/>
    <mergeCell ref="C45:D45"/>
    <mergeCell ref="C46:D46"/>
    <mergeCell ref="C47:D47"/>
    <mergeCell ref="C48:D48"/>
    <mergeCell ref="O63:Q63"/>
    <mergeCell ref="A68:T68"/>
    <mergeCell ref="F5:J6"/>
    <mergeCell ref="A65:C65"/>
    <mergeCell ref="O65:Q65"/>
    <mergeCell ref="O66:Q66"/>
    <mergeCell ref="C13:E14"/>
    <mergeCell ref="F13:G14"/>
    <mergeCell ref="H13:H14"/>
    <mergeCell ref="P38:Q38"/>
    <mergeCell ref="M47:R49"/>
    <mergeCell ref="A51:T51"/>
    <mergeCell ref="B55:C55"/>
    <mergeCell ref="E55:G55"/>
    <mergeCell ref="O61:T61"/>
    <mergeCell ref="O62:Q62"/>
    <mergeCell ref="A40:B40"/>
  </mergeCells>
  <conditionalFormatting sqref="F25:G26">
    <cfRule type="cellIs" dxfId="6" priority="1" operator="greaterThan">
      <formula>55</formula>
    </cfRule>
  </conditionalFormatting>
  <dataValidations count="1">
    <dataValidation type="list" allowBlank="1" showInputMessage="1" showErrorMessage="1" promptTitle="Select a value " sqref="F17" xr:uid="{7535C4F7-4CF3-4DDE-B621-83CC7D652E99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B421D06-2656-440F-8757-6AF4E97AC0EB}">
          <x14:formula1>
            <xm:f>'Default values '!$C$2:$C$10</xm:f>
          </x14:formula1>
          <xm:sqref>N5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A71FB-FD5B-44AF-8616-89D7A933712E}">
  <dimension ref="A1:Z93"/>
  <sheetViews>
    <sheetView topLeftCell="A43" zoomScaleNormal="100" workbookViewId="0">
      <selection activeCell="K54" sqref="K54:P56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7.777343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6" width="12.44140625" style="17" customWidth="1"/>
    <col min="17" max="17" width="8.77734375" style="17" customWidth="1"/>
    <col min="18" max="19" width="5.6640625" style="17" customWidth="1"/>
    <col min="20" max="20" width="12" style="16" bestFit="1" customWidth="1"/>
    <col min="21" max="26" width="8.88671875" style="16"/>
    <col min="27" max="16384" width="8.88671875" style="17"/>
  </cols>
  <sheetData>
    <row r="1" spans="1:26" ht="15" customHeight="1" x14ac:dyDescent="0.3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</row>
    <row r="2" spans="1:26" ht="15" customHeight="1" x14ac:dyDescent="0.3">
      <c r="A2" s="108"/>
      <c r="B2" s="15"/>
      <c r="C2" s="15"/>
      <c r="D2" s="15"/>
      <c r="E2" s="15"/>
      <c r="F2" s="15"/>
      <c r="G2" s="108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</row>
    <row r="3" spans="1:26" ht="7.8" customHeight="1" x14ac:dyDescent="0.3">
      <c r="A3" s="10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8"/>
    </row>
    <row r="4" spans="1:26" ht="5.4" customHeight="1" x14ac:dyDescent="0.3">
      <c r="A4" s="108"/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24"/>
    </row>
    <row r="5" spans="1:26" s="23" customFormat="1" ht="15" customHeight="1" x14ac:dyDescent="0.3">
      <c r="A5" s="26"/>
      <c r="B5" s="28"/>
      <c r="C5" s="864" t="s">
        <v>16</v>
      </c>
      <c r="D5" s="864"/>
      <c r="E5" s="864"/>
      <c r="F5" s="32" t="s">
        <v>40</v>
      </c>
      <c r="G5" s="997" t="s">
        <v>359</v>
      </c>
      <c r="H5" s="997"/>
      <c r="I5" s="997"/>
      <c r="J5" s="997"/>
      <c r="K5" s="866" t="s">
        <v>15</v>
      </c>
      <c r="L5" s="866"/>
      <c r="M5" s="866"/>
      <c r="N5" s="1019" t="s">
        <v>34</v>
      </c>
      <c r="O5" s="1019"/>
      <c r="P5" s="32">
        <f>VLOOKUP(N5,'Default values '!C2:D10,2,TRUE)</f>
        <v>8760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108"/>
      <c r="B6" s="14"/>
      <c r="C6" s="864"/>
      <c r="D6" s="864"/>
      <c r="E6" s="864"/>
      <c r="F6" s="32"/>
      <c r="G6" s="997"/>
      <c r="H6" s="997"/>
      <c r="I6" s="997"/>
      <c r="J6" s="997"/>
      <c r="K6" s="866"/>
      <c r="L6" s="866"/>
      <c r="M6" s="866"/>
      <c r="N6" s="1019"/>
      <c r="O6" s="1019"/>
      <c r="P6" s="14"/>
      <c r="Q6" s="14"/>
      <c r="R6" s="14"/>
      <c r="S6" s="14"/>
    </row>
    <row r="7" spans="1:26" ht="15" customHeight="1" x14ac:dyDescent="0.35">
      <c r="A7" s="108"/>
      <c r="B7" s="14"/>
      <c r="C7" s="106"/>
      <c r="D7" s="106"/>
      <c r="E7" s="106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108"/>
      <c r="B8" s="14"/>
      <c r="C8" s="106"/>
      <c r="D8" s="106"/>
      <c r="E8" s="106"/>
      <c r="F8" s="47"/>
      <c r="G8" s="285"/>
      <c r="H8" s="285"/>
      <c r="I8" s="285"/>
      <c r="J8" s="285"/>
      <c r="K8" s="866" t="s">
        <v>42</v>
      </c>
      <c r="L8" s="866"/>
      <c r="M8" s="866"/>
      <c r="N8" s="898">
        <v>400</v>
      </c>
      <c r="O8" s="898"/>
      <c r="P8" s="869" t="s">
        <v>23</v>
      </c>
      <c r="Q8" s="14"/>
      <c r="R8" s="14"/>
      <c r="S8" s="14"/>
    </row>
    <row r="9" spans="1:26" s="23" customFormat="1" ht="15" customHeight="1" x14ac:dyDescent="0.35">
      <c r="A9" s="108"/>
      <c r="B9" s="14"/>
      <c r="C9" s="106"/>
      <c r="D9" s="106"/>
      <c r="E9" s="106"/>
      <c r="F9" s="47"/>
      <c r="G9" s="285"/>
      <c r="H9" s="285"/>
      <c r="I9" s="285"/>
      <c r="J9" s="285"/>
      <c r="K9" s="866"/>
      <c r="L9" s="866"/>
      <c r="M9" s="866"/>
      <c r="N9" s="898"/>
      <c r="O9" s="898"/>
      <c r="P9" s="869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5">
      <c r="A10" s="108"/>
      <c r="B10" s="14"/>
      <c r="C10" s="106"/>
      <c r="D10" s="106"/>
      <c r="E10" s="106"/>
      <c r="F10" s="47"/>
      <c r="G10" s="47"/>
      <c r="H10" s="47"/>
      <c r="I10" s="108"/>
      <c r="J10" s="108"/>
      <c r="K10" s="108"/>
      <c r="L10" s="108"/>
      <c r="M10" s="108"/>
      <c r="N10" s="108"/>
      <c r="O10" s="108"/>
      <c r="P10" s="108"/>
      <c r="Q10" s="108"/>
      <c r="R10" s="108"/>
      <c r="S10" s="108"/>
    </row>
    <row r="11" spans="1:26" ht="15" customHeight="1" thickBot="1" x14ac:dyDescent="0.4">
      <c r="A11" s="108"/>
      <c r="B11" s="14"/>
      <c r="C11" s="14"/>
      <c r="D11" s="14"/>
      <c r="E11" s="14"/>
      <c r="F11" s="14"/>
      <c r="G11" s="14"/>
      <c r="H11" s="14"/>
      <c r="I11" s="108"/>
      <c r="J11" s="108"/>
      <c r="K11" s="108"/>
      <c r="L11" s="108"/>
      <c r="M11" s="108"/>
      <c r="N11" s="108"/>
      <c r="O11" s="108"/>
      <c r="P11" s="108"/>
      <c r="Q11" s="108"/>
      <c r="R11" s="108"/>
      <c r="S11" s="108"/>
    </row>
    <row r="12" spans="1:26" ht="15" customHeight="1" thickTop="1" x14ac:dyDescent="0.35">
      <c r="A12" s="108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08"/>
      <c r="M12" s="15"/>
      <c r="N12" s="15"/>
      <c r="O12" s="15"/>
      <c r="P12" s="15"/>
      <c r="Q12" s="15"/>
      <c r="R12" s="15"/>
      <c r="S12" s="108"/>
    </row>
    <row r="13" spans="1:26" s="23" customFormat="1" ht="15" customHeight="1" x14ac:dyDescent="0.3">
      <c r="A13" s="26"/>
      <c r="B13" s="31"/>
      <c r="C13" s="869" t="s">
        <v>7</v>
      </c>
      <c r="D13" s="869"/>
      <c r="E13" s="869"/>
      <c r="F13" s="898">
        <v>20</v>
      </c>
      <c r="G13" s="898"/>
      <c r="H13" s="869" t="s">
        <v>8</v>
      </c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108"/>
      <c r="B14" s="8"/>
      <c r="C14" s="869"/>
      <c r="D14" s="869"/>
      <c r="E14" s="869"/>
      <c r="F14" s="898"/>
      <c r="G14" s="898"/>
      <c r="H14" s="869"/>
      <c r="I14" s="15"/>
      <c r="J14" s="26"/>
      <c r="K14" s="51"/>
      <c r="L14" s="26"/>
      <c r="M14" s="899" t="str">
        <f>IF(O14="","","Heat loss")</f>
        <v>Heat loss</v>
      </c>
      <c r="N14" s="899"/>
      <c r="O14" s="915">
        <f>IF(F25=0,"",N45)</f>
        <v>162897.38773357507</v>
      </c>
      <c r="P14" s="915"/>
      <c r="Q14" s="909" t="str">
        <f>IF(O14="","","kWh/a")</f>
        <v>kWh/a</v>
      </c>
      <c r="R14" s="909"/>
      <c r="S14" s="108"/>
    </row>
    <row r="15" spans="1:26" ht="15" customHeight="1" x14ac:dyDescent="0.3">
      <c r="A15" s="108"/>
      <c r="B15" s="8"/>
      <c r="C15" s="108"/>
      <c r="D15" s="108"/>
      <c r="E15" s="108"/>
      <c r="F15" s="33"/>
      <c r="G15" s="33"/>
      <c r="H15" s="108"/>
      <c r="I15" s="15"/>
      <c r="J15" s="15"/>
      <c r="K15" s="45"/>
      <c r="L15" s="15"/>
      <c r="M15" s="899"/>
      <c r="N15" s="899"/>
      <c r="O15" s="915"/>
      <c r="P15" s="915"/>
      <c r="Q15" s="909"/>
      <c r="R15" s="909"/>
      <c r="S15" s="108"/>
    </row>
    <row r="16" spans="1:26" ht="15" customHeight="1" x14ac:dyDescent="0.3">
      <c r="A16" s="108"/>
      <c r="B16" s="8"/>
      <c r="C16" s="108"/>
      <c r="D16" s="108"/>
      <c r="E16" s="108"/>
      <c r="F16" s="33"/>
      <c r="G16" s="33"/>
      <c r="H16" s="108"/>
      <c r="I16" s="27"/>
      <c r="J16" s="27"/>
      <c r="K16" s="45"/>
      <c r="L16" s="27"/>
      <c r="M16" s="899"/>
      <c r="N16" s="899"/>
      <c r="O16" s="910">
        <f>IF(F25=0,"",O45)</f>
        <v>8144.8693866787544</v>
      </c>
      <c r="P16" s="910"/>
      <c r="Q16" s="911" t="str">
        <f>IF(O16="","","€/a")</f>
        <v>€/a</v>
      </c>
      <c r="R16" s="911"/>
      <c r="S16" s="108"/>
    </row>
    <row r="17" spans="1:26" s="23" customFormat="1" ht="15" customHeight="1" x14ac:dyDescent="0.3">
      <c r="A17" s="26"/>
      <c r="B17" s="31"/>
      <c r="C17" s="869" t="s">
        <v>109</v>
      </c>
      <c r="D17" s="869"/>
      <c r="E17" s="869"/>
      <c r="F17" s="908" t="s">
        <v>377</v>
      </c>
      <c r="G17" s="908"/>
      <c r="H17" s="52">
        <f>IF(F17="","",VLOOKUP(F17,'Default values '!A2:B7,2,FALSE))</f>
        <v>0.6</v>
      </c>
      <c r="I17" s="27"/>
      <c r="J17" s="27"/>
      <c r="K17" s="51"/>
      <c r="L17" s="27"/>
      <c r="M17" s="899"/>
      <c r="N17" s="899"/>
      <c r="O17" s="910"/>
      <c r="P17" s="910"/>
      <c r="Q17" s="911"/>
      <c r="R17" s="911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108"/>
      <c r="B18" s="8"/>
      <c r="C18" s="869"/>
      <c r="D18" s="869"/>
      <c r="E18" s="869"/>
      <c r="F18" s="908"/>
      <c r="G18" s="908"/>
      <c r="H18" s="15"/>
      <c r="I18" s="108"/>
      <c r="J18" s="108"/>
      <c r="K18" s="9"/>
      <c r="L18" s="108"/>
      <c r="M18" s="912" t="str">
        <f>IF(O14="","",IF(P48&lt;0,"","Saving potential"))</f>
        <v>Saving potential</v>
      </c>
      <c r="N18" s="912"/>
      <c r="O18" s="988">
        <f>IF(F25=0,"",IF(P48&lt;0,"",P48))</f>
        <v>125881.55758990595</v>
      </c>
      <c r="P18" s="988">
        <f>IF(F25=0,"",IF(P49&lt;0,"",P49))</f>
        <v>147129.38773357507</v>
      </c>
      <c r="Q18" s="961" t="str">
        <f>IF(O18="","",IF(P48&lt;0,"","kWh/a"))</f>
        <v>kWh/a</v>
      </c>
      <c r="R18" s="961"/>
      <c r="S18" s="108"/>
    </row>
    <row r="19" spans="1:26" ht="15" customHeight="1" x14ac:dyDescent="0.3">
      <c r="A19" s="108"/>
      <c r="B19" s="8"/>
      <c r="C19" s="15"/>
      <c r="D19" s="15"/>
      <c r="E19" s="15"/>
      <c r="F19" s="33"/>
      <c r="G19" s="33"/>
      <c r="H19" s="15"/>
      <c r="I19" s="108"/>
      <c r="J19" s="108"/>
      <c r="K19" s="9"/>
      <c r="L19" s="108"/>
      <c r="M19" s="912"/>
      <c r="N19" s="912"/>
      <c r="O19" s="988"/>
      <c r="P19" s="988"/>
      <c r="Q19" s="961"/>
      <c r="R19" s="961"/>
      <c r="S19" s="108"/>
    </row>
    <row r="20" spans="1:26" ht="15" customHeight="1" x14ac:dyDescent="0.3">
      <c r="A20" s="108"/>
      <c r="B20" s="8"/>
      <c r="C20" s="108"/>
      <c r="D20" s="108"/>
      <c r="E20" s="108"/>
      <c r="F20" s="33"/>
      <c r="G20" s="33"/>
      <c r="H20" s="108"/>
      <c r="I20" s="108"/>
      <c r="J20" s="108"/>
      <c r="K20" s="9"/>
      <c r="L20" s="108"/>
      <c r="M20" s="912"/>
      <c r="N20" s="912"/>
      <c r="O20" s="989">
        <f>IF(F25=0,"",IF(P48&lt;0,"",Q48))</f>
        <v>6294.0778794952985</v>
      </c>
      <c r="P20" s="989">
        <f>IF(F25=0,"",IF(P48&lt;0,"",Q49))</f>
        <v>7356.4693866787547</v>
      </c>
      <c r="Q20" s="962" t="str">
        <f>IF(O20=0,"",IF(P48&lt;0,"","€/a"))</f>
        <v>€/a</v>
      </c>
      <c r="R20" s="962"/>
      <c r="S20" s="108"/>
    </row>
    <row r="21" spans="1:26" s="23" customFormat="1" ht="15" customHeight="1" x14ac:dyDescent="0.3">
      <c r="A21" s="26"/>
      <c r="B21" s="31"/>
      <c r="C21" s="869" t="s">
        <v>39</v>
      </c>
      <c r="D21" s="869"/>
      <c r="E21" s="869"/>
      <c r="F21" s="898">
        <v>12</v>
      </c>
      <c r="G21" s="898"/>
      <c r="H21" s="869" t="s">
        <v>23</v>
      </c>
      <c r="I21" s="26"/>
      <c r="J21" s="26"/>
      <c r="K21" s="51"/>
      <c r="L21" s="26"/>
      <c r="M21" s="912"/>
      <c r="N21" s="912"/>
      <c r="O21" s="989"/>
      <c r="P21" s="989"/>
      <c r="Q21" s="962"/>
      <c r="R21" s="962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108"/>
      <c r="B22" s="8"/>
      <c r="C22" s="869"/>
      <c r="D22" s="869"/>
      <c r="E22" s="869"/>
      <c r="F22" s="898"/>
      <c r="G22" s="898"/>
      <c r="H22" s="869"/>
      <c r="I22" s="108"/>
      <c r="J22" s="108"/>
      <c r="K22" s="9"/>
      <c r="L22" s="108"/>
      <c r="M22" s="46"/>
      <c r="N22" s="46"/>
      <c r="O22" s="46"/>
      <c r="P22" s="46"/>
      <c r="Q22" s="46"/>
      <c r="R22" s="46"/>
      <c r="S22" s="108"/>
    </row>
    <row r="23" spans="1:26" ht="15" customHeight="1" x14ac:dyDescent="0.3">
      <c r="A23" s="108"/>
      <c r="B23" s="8"/>
      <c r="C23" s="108"/>
      <c r="D23" s="108"/>
      <c r="E23" s="108"/>
      <c r="F23" s="108"/>
      <c r="G23" s="108"/>
      <c r="H23" s="18"/>
      <c r="I23" s="19"/>
      <c r="J23" s="19"/>
      <c r="K23" s="45"/>
      <c r="L23" s="108"/>
      <c r="M23" s="50"/>
      <c r="N23" s="48"/>
      <c r="O23" s="48"/>
      <c r="P23" s="48"/>
      <c r="Q23" s="48"/>
      <c r="R23" s="48"/>
      <c r="S23" s="108"/>
    </row>
    <row r="24" spans="1:26" ht="15" customHeight="1" x14ac:dyDescent="0.3">
      <c r="A24" s="108"/>
      <c r="B24" s="8"/>
      <c r="C24" s="108"/>
      <c r="D24" s="108"/>
      <c r="E24" s="108"/>
      <c r="F24" s="108"/>
      <c r="G24" s="108"/>
      <c r="H24" s="19"/>
      <c r="I24" s="19"/>
      <c r="J24" s="19"/>
      <c r="K24" s="45"/>
      <c r="L24" s="108"/>
      <c r="M24" s="54"/>
      <c r="N24" s="49"/>
      <c r="O24" s="49"/>
      <c r="P24" s="49"/>
      <c r="Q24" s="48"/>
      <c r="R24" s="48"/>
      <c r="S24" s="108"/>
    </row>
    <row r="25" spans="1:26" ht="15" customHeight="1" x14ac:dyDescent="0.3">
      <c r="A25" s="26"/>
      <c r="B25" s="8"/>
      <c r="C25" s="869" t="s">
        <v>41</v>
      </c>
      <c r="D25" s="869"/>
      <c r="E25" s="869"/>
      <c r="F25" s="898">
        <v>89</v>
      </c>
      <c r="G25" s="898"/>
      <c r="H25" s="869" t="s">
        <v>23</v>
      </c>
      <c r="I25" s="19"/>
      <c r="J25" s="19"/>
      <c r="K25" s="45"/>
      <c r="L25" s="108"/>
      <c r="M25" s="1010" t="str">
        <f>IF(F25="","",K54)</f>
        <v>"Savings can be achieved by increasing insulation performance or thickness"</v>
      </c>
      <c r="N25" s="1010"/>
      <c r="O25" s="1010"/>
      <c r="P25" s="1010"/>
      <c r="Q25" s="48"/>
      <c r="R25" s="48"/>
      <c r="S25" s="108"/>
    </row>
    <row r="26" spans="1:26" ht="15" customHeight="1" x14ac:dyDescent="0.3">
      <c r="A26" s="108"/>
      <c r="B26" s="8"/>
      <c r="C26" s="869"/>
      <c r="D26" s="869"/>
      <c r="E26" s="869"/>
      <c r="F26" s="898"/>
      <c r="G26" s="898"/>
      <c r="H26" s="869"/>
      <c r="I26" s="19"/>
      <c r="J26" s="19"/>
      <c r="K26" s="45"/>
      <c r="L26" s="108"/>
      <c r="M26" s="1010"/>
      <c r="N26" s="1010"/>
      <c r="O26" s="1010"/>
      <c r="P26" s="1010"/>
      <c r="Q26" s="48"/>
      <c r="R26" s="108"/>
      <c r="S26" s="108"/>
    </row>
    <row r="27" spans="1:26" ht="15" customHeight="1" thickBot="1" x14ac:dyDescent="0.35">
      <c r="A27" s="10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8"/>
      <c r="M27" s="1010"/>
      <c r="N27" s="1010"/>
      <c r="O27" s="1010"/>
      <c r="P27" s="1010"/>
      <c r="Q27" s="48"/>
      <c r="R27" s="108"/>
      <c r="S27" s="108"/>
    </row>
    <row r="28" spans="1:26" ht="15" customHeight="1" thickTop="1" thickBot="1" x14ac:dyDescent="0.35">
      <c r="A28" s="108"/>
      <c r="B28" s="108"/>
      <c r="C28" s="108"/>
      <c r="D28" s="108"/>
      <c r="E28" s="108"/>
      <c r="F28" s="108"/>
      <c r="G28" s="108"/>
      <c r="H28" s="108"/>
      <c r="I28" s="108"/>
      <c r="J28" s="108"/>
      <c r="K28" s="108"/>
      <c r="L28" s="108"/>
      <c r="M28" s="108"/>
      <c r="N28" s="108"/>
      <c r="O28" s="108"/>
      <c r="P28" s="108"/>
      <c r="Q28" s="108"/>
      <c r="R28" s="108"/>
      <c r="S28" s="108"/>
    </row>
    <row r="29" spans="1:26" ht="15" customHeight="1" thickTop="1" x14ac:dyDescent="0.3">
      <c r="A29" s="10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8"/>
    </row>
    <row r="30" spans="1:26" x14ac:dyDescent="0.3">
      <c r="A30" s="108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3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3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3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3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3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3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3">
      <c r="A39" s="12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3">
      <c r="A40" s="108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3">
      <c r="A41" s="108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3">
      <c r="A42" s="108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00000000000006" customHeight="1" x14ac:dyDescent="0.6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1035" t="s">
        <v>111</v>
      </c>
      <c r="Q43" s="1035"/>
      <c r="R43" s="16"/>
      <c r="S43" s="16"/>
      <c r="T43" s="207" t="s">
        <v>332</v>
      </c>
    </row>
    <row r="44" spans="1:21" ht="43.2" x14ac:dyDescent="0.3">
      <c r="A44" s="1020" t="s">
        <v>5</v>
      </c>
      <c r="B44" s="1020"/>
      <c r="C44" s="196" t="s">
        <v>37</v>
      </c>
      <c r="D44" s="196" t="s">
        <v>43</v>
      </c>
      <c r="E44" s="196" t="s">
        <v>30</v>
      </c>
      <c r="F44" s="196" t="s">
        <v>31</v>
      </c>
      <c r="G44" s="197" t="s">
        <v>88</v>
      </c>
      <c r="H44" s="196" t="s">
        <v>69</v>
      </c>
      <c r="I44" s="196" t="s">
        <v>68</v>
      </c>
      <c r="J44" s="198" t="s">
        <v>14</v>
      </c>
      <c r="K44" s="198" t="s">
        <v>29</v>
      </c>
      <c r="L44" s="198" t="s">
        <v>27</v>
      </c>
      <c r="M44" s="154" t="s">
        <v>28</v>
      </c>
      <c r="N44" s="86" t="s">
        <v>94</v>
      </c>
      <c r="O44" s="86" t="s">
        <v>95</v>
      </c>
      <c r="P44" s="86"/>
      <c r="Q44" s="86"/>
      <c r="R44" s="16"/>
      <c r="S44" s="16"/>
      <c r="T44" s="208" t="s">
        <v>161</v>
      </c>
      <c r="U44" s="208"/>
    </row>
    <row r="45" spans="1:21" x14ac:dyDescent="0.3">
      <c r="A45" s="886" t="str">
        <f>G5</f>
        <v>Burner L6</v>
      </c>
      <c r="B45" s="886"/>
      <c r="C45" s="263">
        <f>F13</f>
        <v>20</v>
      </c>
      <c r="D45" s="263">
        <f>N8</f>
        <v>400</v>
      </c>
      <c r="E45" s="264">
        <f>F25</f>
        <v>89</v>
      </c>
      <c r="F45" s="264">
        <f>F21</f>
        <v>12</v>
      </c>
      <c r="G45" s="264">
        <f>H17</f>
        <v>0.6</v>
      </c>
      <c r="H45" s="264">
        <f>P5</f>
        <v>8760</v>
      </c>
      <c r="I45" s="265">
        <f>TBi!$L$27</f>
        <v>0.05</v>
      </c>
      <c r="J45" s="200">
        <f>IF(E45=0,"",G45*D63*(((E45+273)^4-(F45+273)^4)/(E45-F45)))</f>
        <v>4.6725426412306854</v>
      </c>
      <c r="K45" s="201">
        <f>IF(E45=0,"",1.74*ABS(E45-F45)^0.3333333)</f>
        <v>7.4025172334635485</v>
      </c>
      <c r="L45" s="200">
        <f>IF(E45=0,"",J45+K45)</f>
        <v>12.075059874694233</v>
      </c>
      <c r="M45" s="202">
        <f>IF(E45=0,"",L45*ABS(E45-F45))</f>
        <v>929.77961035145597</v>
      </c>
      <c r="N45" s="85">
        <f>IF(E45=0,"",M45*H45*C45/1000)</f>
        <v>162897.38773357507</v>
      </c>
      <c r="O45" s="85">
        <f>IF(E45=0,"",N45*I45)</f>
        <v>8144.8693866787544</v>
      </c>
      <c r="P45" s="67"/>
      <c r="Q45" s="67"/>
      <c r="R45" s="16"/>
      <c r="S45" s="16"/>
      <c r="T45" s="209">
        <f>(D45-E45)*$T$49/M45</f>
        <v>3.3448786845566798E-2</v>
      </c>
      <c r="U45" s="209"/>
    </row>
    <row r="46" spans="1:21" x14ac:dyDescent="0.3">
      <c r="A46" s="199" t="s">
        <v>110</v>
      </c>
      <c r="B46" s="199" t="s">
        <v>321</v>
      </c>
      <c r="C46" s="263">
        <f>C45</f>
        <v>20</v>
      </c>
      <c r="D46" s="263">
        <f>D45</f>
        <v>400</v>
      </c>
      <c r="E46" s="432">
        <f>D74</f>
        <v>55</v>
      </c>
      <c r="F46" s="432">
        <f>D75</f>
        <v>35</v>
      </c>
      <c r="G46" s="264">
        <f>D76</f>
        <v>0.8</v>
      </c>
      <c r="H46" s="264">
        <f>H45</f>
        <v>8760</v>
      </c>
      <c r="I46" s="265">
        <f>I45</f>
        <v>0.05</v>
      </c>
      <c r="J46" s="200">
        <f>IF(E46=0,"",G46*D63*(((E46+273)^4-(F46+273)^4)/(E46-F46)))</f>
        <v>5.8407922844206084</v>
      </c>
      <c r="K46" s="201">
        <f>IF(E46=0,"",1.74*ABS(E46-F46)^0.3333333)</f>
        <v>4.72308618123839</v>
      </c>
      <c r="L46" s="200">
        <f>IF(E46=0,"",J46+K46)</f>
        <v>10.563878465658998</v>
      </c>
      <c r="M46" s="202">
        <f>IF(E46=0,"",L46*ABS(E46-F46))</f>
        <v>211.27756931317998</v>
      </c>
      <c r="N46" s="203">
        <f>IF(E46=0,"",M46*H46*C46/1000)</f>
        <v>37015.830143669125</v>
      </c>
      <c r="O46" s="203">
        <f>IF(E46=0,"",N46*I46)</f>
        <v>1850.7915071834564</v>
      </c>
      <c r="P46" s="85"/>
      <c r="Q46" s="85"/>
      <c r="R46" s="16"/>
      <c r="S46" s="16"/>
      <c r="T46" s="209">
        <f>(D46-E46)*$T$49/M46</f>
        <v>0.16329229890400773</v>
      </c>
      <c r="U46" s="209"/>
    </row>
    <row r="47" spans="1:21" s="16" customFormat="1" ht="18" x14ac:dyDescent="0.3">
      <c r="A47" s="394" t="s">
        <v>110</v>
      </c>
      <c r="B47" s="394" t="s">
        <v>322</v>
      </c>
      <c r="C47" s="263">
        <f>C46</f>
        <v>20</v>
      </c>
      <c r="D47" s="263">
        <f>D46</f>
        <v>400</v>
      </c>
      <c r="E47" s="264">
        <f>D75</f>
        <v>35</v>
      </c>
      <c r="F47" s="264">
        <f>D76</f>
        <v>0.8</v>
      </c>
      <c r="G47" s="264">
        <f>D77</f>
        <v>90</v>
      </c>
      <c r="H47" s="264">
        <f>H46</f>
        <v>8760</v>
      </c>
      <c r="I47" s="265">
        <f>I46</f>
        <v>0.05</v>
      </c>
      <c r="J47" s="200"/>
      <c r="K47" s="201"/>
      <c r="L47" s="200"/>
      <c r="M47" s="431">
        <f>D77</f>
        <v>90</v>
      </c>
      <c r="N47" s="203">
        <f>IF(E45=0,"",M47*H47*C47/1000)</f>
        <v>15768</v>
      </c>
      <c r="O47" s="203">
        <f>IF(E47=0,"",N47*I47)</f>
        <v>788.40000000000009</v>
      </c>
      <c r="P47" s="194" t="s">
        <v>71</v>
      </c>
      <c r="Q47" s="195" t="s">
        <v>24</v>
      </c>
      <c r="R47" s="37"/>
      <c r="S47" s="37"/>
      <c r="T47" s="209">
        <f>(D47-E47)*$T$49/M47</f>
        <v>0.40555555555555556</v>
      </c>
      <c r="U47" s="210"/>
    </row>
    <row r="48" spans="1:21" s="16" customFormat="1" x14ac:dyDescent="0.3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/>
      <c r="L48" s="64"/>
      <c r="M48" s="66"/>
      <c r="N48" s="135"/>
      <c r="O48" s="135"/>
      <c r="P48" s="192">
        <f>N45-N46</f>
        <v>125881.55758990595</v>
      </c>
      <c r="Q48" s="85">
        <f>O45-O46</f>
        <v>6294.0778794952985</v>
      </c>
      <c r="R48" s="37"/>
      <c r="S48" s="37"/>
      <c r="T48" s="209"/>
      <c r="U48" s="208"/>
    </row>
    <row r="49" spans="1:21" s="16" customFormat="1" x14ac:dyDescent="0.3">
      <c r="A49" s="62"/>
      <c r="B49" s="62"/>
      <c r="C49" s="62"/>
      <c r="D49" s="62"/>
      <c r="E49" s="190"/>
      <c r="F49" s="190"/>
      <c r="G49" s="63"/>
      <c r="H49" s="63"/>
      <c r="I49" s="63"/>
      <c r="J49" s="64"/>
      <c r="K49" s="65"/>
      <c r="L49" s="64"/>
      <c r="M49" s="66"/>
      <c r="N49" s="135"/>
      <c r="O49" s="135"/>
      <c r="P49" s="192">
        <f>N45-N47</f>
        <v>147129.38773357507</v>
      </c>
      <c r="Q49" s="85">
        <f>O45-O47</f>
        <v>7356.4693866787547</v>
      </c>
      <c r="R49" s="37"/>
      <c r="S49" s="37"/>
      <c r="T49" s="310">
        <v>0.1</v>
      </c>
      <c r="U49" s="208"/>
    </row>
    <row r="50" spans="1:21" s="16" customFormat="1" x14ac:dyDescent="0.3">
      <c r="A50" s="62"/>
      <c r="B50" s="62"/>
      <c r="C50" s="62"/>
      <c r="D50" s="62"/>
      <c r="E50" s="190"/>
      <c r="F50" s="190"/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208" t="s">
        <v>65</v>
      </c>
      <c r="U50" s="208"/>
    </row>
    <row r="51" spans="1:21" s="16" customFormat="1" x14ac:dyDescent="0.3">
      <c r="A51" s="62"/>
      <c r="B51" s="62"/>
      <c r="C51" s="62"/>
      <c r="D51" s="62"/>
      <c r="E51" s="190"/>
      <c r="F51" s="190"/>
      <c r="G51" s="434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208"/>
      <c r="U51" s="208"/>
    </row>
    <row r="52" spans="1:21" s="16" customFormat="1" x14ac:dyDescent="0.3">
      <c r="A52" s="62"/>
      <c r="B52" s="62"/>
      <c r="C52" s="62"/>
      <c r="D52" s="62"/>
      <c r="E52" s="190"/>
      <c r="F52" s="190"/>
      <c r="G52" s="63"/>
      <c r="H52" s="63"/>
      <c r="I52" s="63"/>
      <c r="J52" s="64"/>
      <c r="K52" s="65"/>
      <c r="L52" s="64"/>
      <c r="M52" s="66"/>
      <c r="N52" s="135"/>
      <c r="O52" s="135"/>
      <c r="P52" s="129"/>
      <c r="Q52" s="129"/>
      <c r="R52" s="37"/>
      <c r="S52" s="37"/>
      <c r="T52" s="208"/>
      <c r="U52" s="208"/>
    </row>
    <row r="53" spans="1:21" s="16" customFormat="1" ht="15" thickBot="1" x14ac:dyDescent="0.35">
      <c r="A53" s="62"/>
      <c r="B53" s="62"/>
      <c r="C53" s="62"/>
      <c r="D53" s="62"/>
      <c r="E53" s="190"/>
      <c r="F53" s="190"/>
      <c r="G53" s="63"/>
      <c r="H53" s="63"/>
      <c r="I53" s="63"/>
      <c r="J53" s="64"/>
      <c r="K53" s="65"/>
      <c r="L53" s="64"/>
      <c r="M53" s="66"/>
      <c r="N53" s="135"/>
      <c r="O53" s="135"/>
      <c r="P53" s="129"/>
      <c r="Q53" s="129"/>
      <c r="R53" s="37"/>
      <c r="S53" s="37"/>
      <c r="T53" s="208"/>
      <c r="U53" s="208"/>
    </row>
    <row r="54" spans="1:21" s="16" customFormat="1" x14ac:dyDescent="0.3">
      <c r="A54" s="62"/>
      <c r="B54" s="62"/>
      <c r="C54" s="62"/>
      <c r="D54" s="62"/>
      <c r="E54" s="190"/>
      <c r="F54" s="190"/>
      <c r="G54" s="63"/>
      <c r="H54" s="63"/>
      <c r="I54" s="63"/>
      <c r="J54" s="64"/>
      <c r="K54" s="1026" t="s">
        <v>421</v>
      </c>
      <c r="L54" s="1027"/>
      <c r="M54" s="1027"/>
      <c r="N54" s="1027"/>
      <c r="O54" s="1027"/>
      <c r="P54" s="1028"/>
      <c r="Q54" s="129"/>
      <c r="R54" s="37"/>
      <c r="S54" s="37"/>
      <c r="T54" s="208"/>
      <c r="U54" s="208"/>
    </row>
    <row r="55" spans="1:21" s="16" customFormat="1" x14ac:dyDescent="0.3">
      <c r="A55" s="62"/>
      <c r="B55" s="62"/>
      <c r="C55" s="62"/>
      <c r="D55" s="62"/>
      <c r="E55" s="190"/>
      <c r="F55" s="190"/>
      <c r="G55" s="63"/>
      <c r="H55" s="63"/>
      <c r="I55" s="63"/>
      <c r="J55" s="64"/>
      <c r="K55" s="1029"/>
      <c r="L55" s="1030"/>
      <c r="M55" s="1030"/>
      <c r="N55" s="1030"/>
      <c r="O55" s="1030"/>
      <c r="P55" s="1031"/>
      <c r="Q55" s="129"/>
      <c r="R55" s="37"/>
      <c r="S55" s="37"/>
      <c r="T55" s="208"/>
      <c r="U55" s="208"/>
    </row>
    <row r="56" spans="1:21" s="16" customFormat="1" ht="15" thickBot="1" x14ac:dyDescent="0.35">
      <c r="A56" s="62"/>
      <c r="B56" s="62"/>
      <c r="C56" s="62"/>
      <c r="D56" s="62"/>
      <c r="E56" s="190"/>
      <c r="F56" s="190"/>
      <c r="G56" s="63"/>
      <c r="H56" s="63"/>
      <c r="I56" s="63"/>
      <c r="J56" s="64"/>
      <c r="K56" s="1032"/>
      <c r="L56" s="1033"/>
      <c r="M56" s="1033"/>
      <c r="N56" s="1033"/>
      <c r="O56" s="1033"/>
      <c r="P56" s="1034"/>
      <c r="Q56" s="129"/>
      <c r="R56" s="37"/>
      <c r="S56" s="37"/>
      <c r="T56" s="208"/>
      <c r="U56" s="208"/>
    </row>
    <row r="57" spans="1:21" s="16" customFormat="1" x14ac:dyDescent="0.3">
      <c r="A57" s="62"/>
      <c r="B57" s="62"/>
      <c r="C57" s="63"/>
      <c r="D57" s="63"/>
      <c r="E57" s="191"/>
      <c r="F57" s="65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208"/>
    </row>
    <row r="58" spans="1:21" s="16" customFormat="1" ht="15" thickBot="1" x14ac:dyDescent="0.35">
      <c r="A58" s="62"/>
      <c r="B58" s="62"/>
      <c r="C58" s="62"/>
      <c r="D58" s="63"/>
      <c r="E58" s="64"/>
      <c r="F58" s="64"/>
      <c r="G58" s="63"/>
      <c r="H58" s="63"/>
      <c r="I58" s="63"/>
      <c r="J58" s="64"/>
      <c r="K58" s="65"/>
      <c r="L58" s="64"/>
      <c r="M58" s="66"/>
      <c r="N58" s="129"/>
      <c r="O58" s="129"/>
      <c r="P58" s="135"/>
      <c r="Q58" s="135"/>
      <c r="R58" s="37"/>
      <c r="S58" s="37"/>
      <c r="T58" s="208"/>
    </row>
    <row r="59" spans="1:21" s="16" customFormat="1" ht="15" thickBot="1" x14ac:dyDescent="0.35">
      <c r="A59" s="62"/>
      <c r="B59" s="62"/>
      <c r="C59" s="62"/>
      <c r="D59" s="147"/>
      <c r="E59" s="158"/>
      <c r="F59" s="17"/>
      <c r="G59" s="63"/>
      <c r="H59" s="63"/>
      <c r="I59" s="63"/>
      <c r="J59" s="64"/>
      <c r="K59" s="65"/>
      <c r="L59" s="64"/>
      <c r="M59" s="66"/>
      <c r="N59" s="129"/>
      <c r="O59" s="129"/>
      <c r="P59" s="135"/>
      <c r="Q59" s="135"/>
      <c r="R59" s="37"/>
      <c r="S59" s="37"/>
      <c r="T59" s="37"/>
    </row>
    <row r="60" spans="1:21" s="16" customFormat="1" x14ac:dyDescent="0.3">
      <c r="A60" s="62"/>
      <c r="B60" s="62"/>
      <c r="C60" s="62"/>
      <c r="D60" s="63"/>
      <c r="E60" s="64"/>
      <c r="F60" s="63"/>
      <c r="G60" s="63"/>
      <c r="H60" s="63"/>
      <c r="I60" s="63"/>
      <c r="J60" s="64"/>
      <c r="K60" s="65"/>
      <c r="L60" s="64"/>
      <c r="M60" s="66"/>
      <c r="N60" s="129"/>
      <c r="O60" s="129"/>
      <c r="P60" s="135"/>
      <c r="Q60" s="135"/>
      <c r="R60" s="37"/>
      <c r="S60" s="37"/>
      <c r="T60" s="37"/>
    </row>
    <row r="61" spans="1:21" s="16" customFormat="1" ht="15" thickBot="1" x14ac:dyDescent="0.35">
      <c r="A61" s="395" t="s">
        <v>119</v>
      </c>
      <c r="B61" s="395"/>
      <c r="C61" s="395"/>
      <c r="D61" s="395"/>
      <c r="E61" s="395"/>
      <c r="F61" s="395"/>
      <c r="G61" s="395"/>
      <c r="H61" s="395"/>
      <c r="I61" s="395"/>
      <c r="J61" s="395"/>
      <c r="K61" s="395"/>
      <c r="L61" s="395"/>
      <c r="M61" s="395"/>
      <c r="N61" s="395"/>
      <c r="O61" s="395"/>
      <c r="P61" s="395"/>
      <c r="Q61" s="395"/>
      <c r="R61" s="395"/>
      <c r="S61" s="395"/>
      <c r="T61" s="37"/>
      <c r="U61" s="16" t="s">
        <v>92</v>
      </c>
    </row>
    <row r="62" spans="1:21" s="2" customFormat="1" ht="15" thickBot="1" x14ac:dyDescent="0.35">
      <c r="A62" s="948" t="s">
        <v>174</v>
      </c>
      <c r="B62" s="949"/>
      <c r="C62" s="949"/>
      <c r="D62" s="240">
        <v>3.1415999999999999</v>
      </c>
      <c r="E62" s="63"/>
      <c r="F62" s="63"/>
      <c r="G62" s="63"/>
      <c r="H62" s="63"/>
      <c r="I62" s="63"/>
      <c r="J62" s="64"/>
      <c r="K62" s="65"/>
      <c r="L62" s="64"/>
      <c r="M62" s="66"/>
      <c r="N62" s="312"/>
      <c r="O62" s="312"/>
      <c r="P62" s="289"/>
      <c r="Q62" s="289"/>
      <c r="R62" s="299"/>
      <c r="S62" s="299"/>
      <c r="T62" s="37"/>
    </row>
    <row r="63" spans="1:21" s="2" customFormat="1" ht="15" thickBot="1" x14ac:dyDescent="0.35">
      <c r="A63" s="950" t="s">
        <v>90</v>
      </c>
      <c r="B63" s="949"/>
      <c r="C63" s="949"/>
      <c r="D63" s="313">
        <v>5.6703669999999997E-8</v>
      </c>
      <c r="E63" s="63"/>
      <c r="F63" s="63"/>
      <c r="G63" s="63"/>
      <c r="H63" s="63"/>
      <c r="I63" s="63"/>
      <c r="J63" s="64"/>
      <c r="K63" s="65"/>
      <c r="L63" s="64"/>
      <c r="M63" s="66"/>
      <c r="N63" s="312"/>
      <c r="O63" s="312"/>
      <c r="P63" s="289"/>
      <c r="Q63" s="289"/>
      <c r="R63" s="299"/>
      <c r="S63" s="299"/>
      <c r="T63" s="395"/>
    </row>
    <row r="64" spans="1:21" s="2" customFormat="1" x14ac:dyDescent="0.3">
      <c r="A64" s="170"/>
      <c r="B64" s="95"/>
      <c r="C64" s="164"/>
      <c r="D64" s="63"/>
      <c r="E64" s="63"/>
      <c r="F64" s="62"/>
      <c r="G64" s="136"/>
      <c r="H64" s="63"/>
      <c r="I64" s="64"/>
      <c r="J64" s="65"/>
      <c r="K64" s="64"/>
      <c r="L64" s="66"/>
      <c r="M64" s="312"/>
      <c r="N64" s="312"/>
      <c r="O64" s="289"/>
      <c r="P64" s="289"/>
      <c r="Q64" s="299"/>
      <c r="R64" s="299"/>
      <c r="S64" s="299"/>
      <c r="T64" s="299"/>
    </row>
    <row r="65" spans="1:22" s="2" customFormat="1" x14ac:dyDescent="0.3">
      <c r="A65" s="170"/>
      <c r="B65" s="95"/>
      <c r="C65" s="164"/>
      <c r="D65" s="63"/>
      <c r="E65" s="186"/>
      <c r="F65" s="187"/>
      <c r="G65" s="188"/>
      <c r="H65" s="63"/>
      <c r="I65" s="64"/>
      <c r="J65" s="65"/>
      <c r="K65" s="64"/>
      <c r="L65" s="66"/>
      <c r="M65" s="312"/>
      <c r="N65" s="312"/>
      <c r="O65" s="289"/>
      <c r="P65" s="289"/>
      <c r="Q65" s="299"/>
      <c r="R65" s="299"/>
      <c r="S65" s="299"/>
      <c r="T65" s="299"/>
    </row>
    <row r="66" spans="1:22" s="2" customFormat="1" x14ac:dyDescent="0.3">
      <c r="A66" s="170"/>
      <c r="B66" s="95"/>
      <c r="C66" s="176"/>
      <c r="D66" s="63"/>
      <c r="E66" s="186"/>
      <c r="F66" s="187"/>
      <c r="G66" s="188"/>
      <c r="H66" s="63"/>
      <c r="I66" s="64"/>
      <c r="J66" s="65"/>
      <c r="K66" s="64"/>
      <c r="L66" s="66"/>
      <c r="M66" s="312"/>
      <c r="N66" s="312"/>
      <c r="O66" s="289"/>
      <c r="P66" s="289"/>
      <c r="Q66" s="299"/>
      <c r="R66" s="299"/>
      <c r="S66" s="299"/>
    </row>
    <row r="67" spans="1:22" s="2" customFormat="1" x14ac:dyDescent="0.3">
      <c r="A67" s="170"/>
      <c r="B67" s="95"/>
      <c r="C67" s="176"/>
      <c r="D67" s="63"/>
      <c r="E67" s="63"/>
      <c r="F67" s="63"/>
      <c r="G67" s="188"/>
      <c r="H67" s="63"/>
      <c r="I67" s="64"/>
      <c r="J67" s="65"/>
      <c r="K67" s="64"/>
      <c r="L67" s="66"/>
      <c r="M67" s="312"/>
      <c r="N67" s="312"/>
      <c r="O67" s="289"/>
      <c r="P67" s="289"/>
      <c r="Q67" s="299"/>
      <c r="R67" s="299"/>
      <c r="S67" s="299"/>
    </row>
    <row r="68" spans="1:22" customFormat="1" x14ac:dyDescent="0.3">
      <c r="A68" s="62"/>
      <c r="B68" s="95"/>
      <c r="C68" s="176"/>
      <c r="D68" s="63"/>
      <c r="E68" s="63"/>
      <c r="F68" s="64"/>
      <c r="G68" s="65"/>
      <c r="H68" s="64"/>
      <c r="I68" s="66"/>
      <c r="J68" s="2"/>
      <c r="K68" s="2"/>
      <c r="L68" s="289"/>
      <c r="M68" s="289"/>
      <c r="N68" s="2"/>
      <c r="O68" s="289"/>
      <c r="P68" s="315"/>
      <c r="Q68" s="299"/>
      <c r="R68" s="299"/>
      <c r="S68" s="299"/>
      <c r="T68" s="2"/>
    </row>
    <row r="69" spans="1:22" customFormat="1" x14ac:dyDescent="0.3">
      <c r="A69" s="62"/>
      <c r="B69" s="95"/>
      <c r="C69" s="176"/>
      <c r="D69" s="63"/>
      <c r="E69" s="63"/>
      <c r="F69" s="64"/>
      <c r="G69" s="65"/>
      <c r="H69" s="64"/>
      <c r="I69" s="66"/>
      <c r="J69" s="2"/>
      <c r="K69" s="2"/>
      <c r="L69" s="289"/>
      <c r="M69" s="289"/>
      <c r="N69" s="16"/>
      <c r="O69" s="399"/>
      <c r="P69" s="399"/>
      <c r="Q69" s="399"/>
      <c r="R69" s="399"/>
      <c r="S69" s="399"/>
      <c r="T69" s="2"/>
      <c r="U69" s="16"/>
      <c r="V69" s="16"/>
    </row>
    <row r="70" spans="1:22" customFormat="1" ht="15" thickBot="1" x14ac:dyDescent="0.35">
      <c r="A70" s="62"/>
      <c r="B70" s="16"/>
      <c r="C70" s="135"/>
      <c r="D70" s="41"/>
      <c r="E70" s="16"/>
      <c r="F70" s="16"/>
      <c r="G70" s="16"/>
      <c r="H70" s="64"/>
      <c r="I70" s="66"/>
      <c r="J70" s="2"/>
      <c r="K70" s="2"/>
      <c r="L70" s="289"/>
      <c r="M70" s="289"/>
      <c r="N70" s="16"/>
      <c r="O70" s="1018"/>
      <c r="P70" s="1018"/>
      <c r="Q70" s="1018"/>
      <c r="R70" s="317"/>
      <c r="S70" s="317"/>
      <c r="T70" s="2"/>
      <c r="U70" s="16"/>
      <c r="V70" s="16"/>
    </row>
    <row r="71" spans="1:22" customFormat="1" ht="15" thickBot="1" x14ac:dyDescent="0.35">
      <c r="A71" s="177"/>
      <c r="B71" s="178" t="s">
        <v>147</v>
      </c>
      <c r="C71" s="162"/>
      <c r="D71" s="306">
        <v>1.6</v>
      </c>
      <c r="E71" s="16"/>
      <c r="F71" s="16"/>
      <c r="G71" s="16"/>
      <c r="H71" s="64"/>
      <c r="I71" s="66"/>
      <c r="J71" s="2"/>
      <c r="K71" s="2"/>
      <c r="L71" s="289"/>
      <c r="M71" s="289"/>
      <c r="N71" s="16"/>
      <c r="O71" s="1018"/>
      <c r="P71" s="1018"/>
      <c r="Q71" s="1018"/>
      <c r="R71" s="317"/>
      <c r="S71" s="317"/>
      <c r="T71" s="399"/>
      <c r="U71" s="16"/>
      <c r="V71" s="16"/>
    </row>
    <row r="72" spans="1:22" customFormat="1" ht="15" thickBot="1" x14ac:dyDescent="0.35">
      <c r="A72" s="177"/>
      <c r="B72" s="178" t="s">
        <v>148</v>
      </c>
      <c r="C72" s="162"/>
      <c r="D72" s="306">
        <v>2</v>
      </c>
      <c r="E72" s="16"/>
      <c r="F72" s="16"/>
      <c r="G72" s="16"/>
      <c r="H72" s="64"/>
      <c r="I72" s="66"/>
      <c r="J72" s="2"/>
      <c r="K72" s="2"/>
      <c r="L72" s="289"/>
      <c r="M72" s="289"/>
      <c r="N72" s="16"/>
      <c r="O72" s="1018"/>
      <c r="P72" s="1018"/>
      <c r="Q72" s="1018"/>
      <c r="R72" s="318"/>
      <c r="S72" s="317"/>
      <c r="T72" s="16"/>
      <c r="U72" s="16"/>
      <c r="V72" s="16"/>
    </row>
    <row r="73" spans="1:22" customFormat="1" ht="15" thickBot="1" x14ac:dyDescent="0.35">
      <c r="A73" s="1023" t="s">
        <v>96</v>
      </c>
      <c r="B73" s="1024"/>
      <c r="C73" s="1025"/>
      <c r="D73" s="307">
        <v>55</v>
      </c>
      <c r="E73" s="179" t="s">
        <v>23</v>
      </c>
      <c r="F73" s="64"/>
      <c r="G73" s="65"/>
      <c r="H73" s="64"/>
      <c r="I73" s="66"/>
      <c r="J73" s="2"/>
      <c r="K73" s="2"/>
      <c r="L73" s="289"/>
      <c r="M73" s="289"/>
      <c r="N73" s="16"/>
      <c r="O73" s="1018"/>
      <c r="P73" s="1018"/>
      <c r="Q73" s="1018"/>
      <c r="R73" s="319"/>
      <c r="S73" s="317"/>
      <c r="T73" s="16"/>
      <c r="U73" s="16"/>
      <c r="V73" s="16"/>
    </row>
    <row r="74" spans="1:22" customFormat="1" ht="15" thickBot="1" x14ac:dyDescent="0.35">
      <c r="A74" s="1039" t="s">
        <v>151</v>
      </c>
      <c r="B74" s="1040"/>
      <c r="C74" s="1040"/>
      <c r="D74" s="308">
        <v>55</v>
      </c>
      <c r="E74" s="138"/>
      <c r="F74" s="139"/>
      <c r="G74" s="140"/>
      <c r="H74" s="139"/>
      <c r="I74" s="141"/>
      <c r="J74" s="145"/>
      <c r="K74" s="2"/>
      <c r="L74" s="289"/>
      <c r="M74" s="289"/>
      <c r="N74" s="16"/>
      <c r="O74" s="1018"/>
      <c r="P74" s="1018"/>
      <c r="Q74" s="1018"/>
      <c r="R74" s="320"/>
      <c r="S74" s="37"/>
      <c r="T74" s="16"/>
      <c r="U74" s="16"/>
      <c r="V74" s="16"/>
    </row>
    <row r="75" spans="1:22" customFormat="1" ht="15" thickBot="1" x14ac:dyDescent="0.35">
      <c r="A75" s="1021" t="s">
        <v>152</v>
      </c>
      <c r="B75" s="1022"/>
      <c r="C75" s="1022"/>
      <c r="D75" s="308">
        <v>35</v>
      </c>
      <c r="E75" s="138"/>
      <c r="F75" s="139"/>
      <c r="G75" s="140"/>
      <c r="H75" s="139"/>
      <c r="I75" s="141"/>
      <c r="J75" s="145"/>
      <c r="K75" s="2"/>
      <c r="L75" s="289"/>
      <c r="M75" s="289"/>
      <c r="N75" s="16"/>
      <c r="O75" s="135"/>
      <c r="P75" s="321"/>
      <c r="Q75" s="37"/>
      <c r="R75" s="37"/>
      <c r="S75" s="37"/>
      <c r="T75" s="16"/>
      <c r="U75" s="16"/>
      <c r="V75" s="16"/>
    </row>
    <row r="76" spans="1:22" ht="15" thickBot="1" x14ac:dyDescent="0.35">
      <c r="A76" s="1021" t="s">
        <v>162</v>
      </c>
      <c r="B76" s="1022"/>
      <c r="C76" s="1022"/>
      <c r="D76" s="308">
        <v>0.8</v>
      </c>
      <c r="K76" s="1036"/>
      <c r="L76" s="1037"/>
      <c r="M76" s="1038"/>
      <c r="N76" s="322"/>
      <c r="O76" s="323"/>
      <c r="P76" s="16"/>
      <c r="Q76" s="16"/>
      <c r="R76" s="16"/>
      <c r="S76" s="16"/>
    </row>
    <row r="77" spans="1:22" ht="15" thickBot="1" x14ac:dyDescent="0.35">
      <c r="A77" s="1021" t="s">
        <v>333</v>
      </c>
      <c r="B77" s="1022"/>
      <c r="C77" s="1022"/>
      <c r="D77" s="308">
        <v>90</v>
      </c>
      <c r="E77" s="17" t="s">
        <v>334</v>
      </c>
    </row>
    <row r="84" spans="1:17" ht="43.2" x14ac:dyDescent="0.3">
      <c r="A84" s="1020" t="s">
        <v>5</v>
      </c>
      <c r="B84" s="1020"/>
      <c r="C84" s="196" t="s">
        <v>37</v>
      </c>
      <c r="D84" s="196" t="s">
        <v>43</v>
      </c>
      <c r="E84" s="196" t="s">
        <v>30</v>
      </c>
      <c r="F84" s="196" t="s">
        <v>31</v>
      </c>
      <c r="G84" s="197" t="s">
        <v>88</v>
      </c>
      <c r="H84" s="196" t="s">
        <v>69</v>
      </c>
      <c r="I84" s="196" t="s">
        <v>68</v>
      </c>
      <c r="J84" s="198" t="s">
        <v>14</v>
      </c>
      <c r="K84" s="198" t="s">
        <v>29</v>
      </c>
      <c r="L84" s="198" t="s">
        <v>27</v>
      </c>
      <c r="M84" s="154" t="s">
        <v>178</v>
      </c>
      <c r="N84" s="86" t="s">
        <v>94</v>
      </c>
      <c r="O84" s="86" t="s">
        <v>95</v>
      </c>
      <c r="P84" s="86"/>
      <c r="Q84" s="86"/>
    </row>
    <row r="85" spans="1:17" ht="18" x14ac:dyDescent="0.3">
      <c r="A85" s="886"/>
      <c r="B85" s="886"/>
      <c r="C85" s="263"/>
      <c r="D85" s="263"/>
      <c r="E85" s="264"/>
      <c r="F85" s="264"/>
      <c r="G85" s="264"/>
      <c r="H85" s="264"/>
      <c r="I85" s="265"/>
      <c r="J85" s="597">
        <v>1</v>
      </c>
      <c r="K85" s="588">
        <v>2</v>
      </c>
      <c r="L85" s="588">
        <v>3</v>
      </c>
      <c r="M85" s="597">
        <v>4</v>
      </c>
      <c r="N85" s="589">
        <v>5</v>
      </c>
      <c r="O85" s="589">
        <v>6</v>
      </c>
      <c r="P85" s="194" t="s">
        <v>71</v>
      </c>
      <c r="Q85" s="195" t="s">
        <v>24</v>
      </c>
    </row>
    <row r="86" spans="1:17" ht="15.6" x14ac:dyDescent="0.3">
      <c r="A86" s="571" t="s">
        <v>110</v>
      </c>
      <c r="B86" s="571" t="s">
        <v>321</v>
      </c>
      <c r="C86" s="263"/>
      <c r="D86" s="263"/>
      <c r="E86" s="432" t="s">
        <v>419</v>
      </c>
      <c r="F86" s="432" t="s">
        <v>419</v>
      </c>
      <c r="G86" s="264"/>
      <c r="H86" s="264"/>
      <c r="I86" s="265"/>
      <c r="J86" s="597">
        <v>1</v>
      </c>
      <c r="K86" s="588">
        <v>2</v>
      </c>
      <c r="L86" s="588">
        <v>3</v>
      </c>
      <c r="M86" s="597">
        <v>4</v>
      </c>
      <c r="N86" s="203">
        <v>5</v>
      </c>
      <c r="O86" s="203">
        <v>6</v>
      </c>
      <c r="P86" s="590">
        <v>26</v>
      </c>
      <c r="Q86" s="590">
        <v>28</v>
      </c>
    </row>
    <row r="87" spans="1:17" ht="15.6" x14ac:dyDescent="0.3">
      <c r="A87" s="571" t="s">
        <v>110</v>
      </c>
      <c r="B87" s="571" t="s">
        <v>322</v>
      </c>
      <c r="C87" s="263"/>
      <c r="D87" s="263"/>
      <c r="E87" s="264"/>
      <c r="F87" s="264"/>
      <c r="G87" s="264"/>
      <c r="H87" s="264"/>
      <c r="I87" s="265"/>
      <c r="J87" s="597"/>
      <c r="K87" s="588"/>
      <c r="L87" s="588"/>
      <c r="M87" s="432" t="s">
        <v>419</v>
      </c>
      <c r="N87" s="203">
        <v>5</v>
      </c>
      <c r="O87" s="203">
        <v>6</v>
      </c>
      <c r="P87" s="590">
        <v>27</v>
      </c>
      <c r="Q87" s="590">
        <v>29</v>
      </c>
    </row>
    <row r="88" spans="1:17" x14ac:dyDescent="0.3">
      <c r="A88" s="62"/>
      <c r="B88" s="62"/>
      <c r="C88" s="62"/>
      <c r="D88" s="62"/>
      <c r="E88" s="190"/>
      <c r="F88" s="190"/>
      <c r="G88" s="63"/>
      <c r="H88" s="63"/>
      <c r="I88" s="63"/>
      <c r="J88" s="64"/>
      <c r="K88" s="65"/>
      <c r="L88" s="64"/>
      <c r="M88" s="66"/>
      <c r="N88" s="135"/>
      <c r="O88" s="135"/>
    </row>
    <row r="89" spans="1:17" x14ac:dyDescent="0.3">
      <c r="A89" s="62"/>
      <c r="B89" s="62"/>
      <c r="C89" s="62"/>
      <c r="D89" s="62"/>
      <c r="E89" s="190"/>
      <c r="F89" s="190"/>
      <c r="G89" s="63"/>
      <c r="H89" s="63"/>
      <c r="I89" s="63"/>
      <c r="J89" s="64"/>
      <c r="K89" s="65"/>
      <c r="L89" s="64"/>
      <c r="M89" s="66"/>
      <c r="N89" s="135"/>
      <c r="O89" s="135"/>
    </row>
    <row r="90" spans="1:17" ht="15" thickBot="1" x14ac:dyDescent="0.35"/>
    <row r="91" spans="1:17" x14ac:dyDescent="0.3">
      <c r="L91" s="1026">
        <v>49</v>
      </c>
      <c r="M91" s="1027"/>
      <c r="N91" s="1027"/>
      <c r="O91" s="1027"/>
      <c r="P91" s="1027"/>
      <c r="Q91" s="1028"/>
    </row>
    <row r="92" spans="1:17" x14ac:dyDescent="0.3">
      <c r="L92" s="1029"/>
      <c r="M92" s="1030"/>
      <c r="N92" s="1030"/>
      <c r="O92" s="1030"/>
      <c r="P92" s="1030"/>
      <c r="Q92" s="1031"/>
    </row>
    <row r="93" spans="1:17" ht="15" thickBot="1" x14ac:dyDescent="0.35">
      <c r="L93" s="1032"/>
      <c r="M93" s="1033"/>
      <c r="N93" s="1033"/>
      <c r="O93" s="1033"/>
      <c r="P93" s="1033"/>
      <c r="Q93" s="1034"/>
    </row>
  </sheetData>
  <mergeCells count="51">
    <mergeCell ref="A84:B84"/>
    <mergeCell ref="A85:B85"/>
    <mergeCell ref="L91:Q93"/>
    <mergeCell ref="A77:C77"/>
    <mergeCell ref="O18:O19"/>
    <mergeCell ref="O20:O21"/>
    <mergeCell ref="P18:P19"/>
    <mergeCell ref="P20:P21"/>
    <mergeCell ref="A45:B45"/>
    <mergeCell ref="P43:Q43"/>
    <mergeCell ref="K76:M76"/>
    <mergeCell ref="A74:C74"/>
    <mergeCell ref="A75:C75"/>
    <mergeCell ref="A62:C62"/>
    <mergeCell ref="A63:C63"/>
    <mergeCell ref="O74:Q74"/>
    <mergeCell ref="A76:C76"/>
    <mergeCell ref="O70:Q70"/>
    <mergeCell ref="O71:Q71"/>
    <mergeCell ref="A73:C73"/>
    <mergeCell ref="K54:P56"/>
    <mergeCell ref="C25:E26"/>
    <mergeCell ref="F25:G26"/>
    <mergeCell ref="H25:H26"/>
    <mergeCell ref="M25:P27"/>
    <mergeCell ref="A44:B44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G5:J6"/>
    <mergeCell ref="O73:Q73"/>
    <mergeCell ref="O72:Q72"/>
    <mergeCell ref="C5:E6"/>
    <mergeCell ref="K5:M6"/>
    <mergeCell ref="N5:O6"/>
    <mergeCell ref="K8:M9"/>
    <mergeCell ref="N8:O9"/>
    <mergeCell ref="P8:P9"/>
    <mergeCell ref="C13:E14"/>
    <mergeCell ref="F13:G14"/>
    <mergeCell ref="H13:H14"/>
    <mergeCell ref="M14:N17"/>
    <mergeCell ref="O14:P15"/>
    <mergeCell ref="Q14:R15"/>
    <mergeCell ref="O16:P17"/>
  </mergeCells>
  <conditionalFormatting sqref="F25:G26">
    <cfRule type="cellIs" dxfId="5" priority="1" operator="greaterThan">
      <formula>55</formula>
    </cfRule>
  </conditionalFormatting>
  <dataValidations count="1">
    <dataValidation type="list" allowBlank="1" showInputMessage="1" showErrorMessage="1" promptTitle="Select a value " sqref="F17" xr:uid="{DF10A02C-6615-4AEC-8224-D7F88F911EB6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DFF5DE0-8358-40CE-8BAD-529BCA570C04}">
          <x14:formula1>
            <xm:f>'Default values '!$C$2:$C$10</xm:f>
          </x14:formula1>
          <xm:sqref>N5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C3086F-DEF8-41F9-8C36-BD7E2FA07444}">
  <dimension ref="A1:AC136"/>
  <sheetViews>
    <sheetView topLeftCell="A46" workbookViewId="0">
      <selection activeCell="R47" sqref="R47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3.109375" style="17" customWidth="1"/>
    <col min="16" max="16" width="12.88671875" style="17" customWidth="1"/>
    <col min="17" max="17" width="8.77734375" style="17" customWidth="1"/>
    <col min="18" max="18" width="5.6640625" style="17" customWidth="1"/>
    <col min="19" max="19" width="7.21875" style="17" customWidth="1"/>
    <col min="20" max="21" width="8.88671875" style="16"/>
    <col min="22" max="22" width="5.5546875" style="16" customWidth="1"/>
    <col min="23" max="23" width="12.44140625" style="16" customWidth="1"/>
    <col min="24" max="24" width="13.44140625" style="16" customWidth="1"/>
    <col min="25" max="25" width="5.5546875" style="16" customWidth="1"/>
    <col min="26" max="26" width="5.5546875" style="17" customWidth="1"/>
    <col min="27" max="16384" width="8.88671875" style="17"/>
  </cols>
  <sheetData>
    <row r="1" spans="1:25" ht="15" customHeight="1" x14ac:dyDescent="0.3">
      <c r="A1" s="124"/>
      <c r="B1" s="124"/>
      <c r="C1" s="124"/>
      <c r="D1" s="124"/>
      <c r="E1" s="124"/>
      <c r="F1" s="124"/>
      <c r="G1" s="124"/>
      <c r="H1" s="124"/>
      <c r="I1" s="124"/>
      <c r="J1" s="124"/>
      <c r="K1" s="124"/>
      <c r="L1" s="124"/>
      <c r="M1" s="124"/>
      <c r="N1" s="124"/>
      <c r="O1" s="124"/>
      <c r="P1" s="124"/>
      <c r="Q1" s="124"/>
      <c r="R1" s="124"/>
      <c r="S1" s="124"/>
    </row>
    <row r="2" spans="1:25" ht="15" customHeight="1" x14ac:dyDescent="0.3">
      <c r="A2" s="124"/>
      <c r="B2" s="15"/>
      <c r="C2" s="15"/>
      <c r="D2" s="15"/>
      <c r="E2" s="15"/>
      <c r="F2" s="15"/>
      <c r="G2" s="124"/>
      <c r="H2" s="124"/>
      <c r="I2" s="124"/>
      <c r="J2" s="124"/>
      <c r="K2" s="124"/>
      <c r="L2" s="124"/>
      <c r="M2" s="124"/>
      <c r="N2" s="124"/>
      <c r="O2" s="124"/>
      <c r="P2" s="124"/>
      <c r="Q2" s="124"/>
      <c r="R2" s="124"/>
      <c r="S2" s="124"/>
    </row>
    <row r="3" spans="1:25" ht="7.8" customHeight="1" x14ac:dyDescent="0.3">
      <c r="A3" s="12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24"/>
    </row>
    <row r="4" spans="1:25" ht="5.4" customHeight="1" x14ac:dyDescent="0.3">
      <c r="A4" s="124"/>
      <c r="B4" s="124"/>
      <c r="C4" s="124"/>
      <c r="D4" s="124"/>
      <c r="E4" s="124"/>
      <c r="F4" s="124"/>
      <c r="G4" s="124"/>
      <c r="H4" s="124"/>
      <c r="I4" s="124"/>
      <c r="J4" s="124"/>
      <c r="K4" s="124"/>
      <c r="L4" s="124"/>
      <c r="M4" s="124"/>
      <c r="N4" s="124"/>
      <c r="O4" s="124"/>
      <c r="P4" s="124"/>
      <c r="Q4" s="124"/>
      <c r="R4" s="124"/>
      <c r="S4" s="124"/>
      <c r="T4" s="24"/>
      <c r="U4" s="24"/>
    </row>
    <row r="5" spans="1:25" s="23" customFormat="1" ht="15" customHeight="1" x14ac:dyDescent="0.3">
      <c r="A5" s="26"/>
      <c r="B5" s="28"/>
      <c r="C5" s="864" t="s">
        <v>16</v>
      </c>
      <c r="D5" s="864"/>
      <c r="E5" s="864"/>
      <c r="F5" s="32" t="s">
        <v>40</v>
      </c>
      <c r="G5" s="284" t="s">
        <v>242</v>
      </c>
      <c r="H5" s="284"/>
      <c r="I5" s="284"/>
      <c r="J5" s="284"/>
      <c r="K5" s="866" t="s">
        <v>15</v>
      </c>
      <c r="L5" s="866"/>
      <c r="M5" s="866"/>
      <c r="N5" s="908" t="s">
        <v>34</v>
      </c>
      <c r="O5" s="908"/>
      <c r="P5" s="32">
        <f>VLOOKUP(N5,'Default values '!C2:D10,2,TRUE)</f>
        <v>8760</v>
      </c>
      <c r="Q5" s="28"/>
      <c r="R5" s="28"/>
      <c r="S5" s="28"/>
      <c r="T5" s="25"/>
      <c r="U5" s="25"/>
      <c r="V5" s="22"/>
      <c r="W5" s="22"/>
      <c r="X5" s="22"/>
      <c r="Y5" s="22"/>
    </row>
    <row r="6" spans="1:25" ht="15" customHeight="1" x14ac:dyDescent="0.35">
      <c r="A6" s="124"/>
      <c r="B6" s="14"/>
      <c r="C6" s="864"/>
      <c r="D6" s="864"/>
      <c r="E6" s="864"/>
      <c r="F6" s="32"/>
      <c r="G6" s="284"/>
      <c r="H6" s="284"/>
      <c r="I6" s="284"/>
      <c r="J6" s="284"/>
      <c r="K6" s="866"/>
      <c r="L6" s="866"/>
      <c r="M6" s="866"/>
      <c r="N6" s="908"/>
      <c r="O6" s="908"/>
      <c r="P6" s="14"/>
      <c r="Q6" s="14"/>
      <c r="R6" s="14"/>
      <c r="S6" s="14"/>
    </row>
    <row r="7" spans="1:25" ht="15" customHeight="1" x14ac:dyDescent="0.35">
      <c r="A7" s="124"/>
      <c r="B7" s="14"/>
      <c r="C7" s="125"/>
      <c r="D7" s="125"/>
      <c r="E7" s="125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5" ht="15" customHeight="1" x14ac:dyDescent="0.35">
      <c r="A8" s="124"/>
      <c r="B8" s="14"/>
      <c r="C8" s="125"/>
      <c r="D8" s="125"/>
      <c r="E8" s="125"/>
      <c r="F8" s="47"/>
      <c r="G8" s="285"/>
      <c r="H8" s="285"/>
      <c r="I8" s="285"/>
      <c r="J8" s="285"/>
      <c r="K8" s="866" t="s">
        <v>42</v>
      </c>
      <c r="L8" s="866"/>
      <c r="M8" s="866"/>
      <c r="N8" s="898">
        <v>400</v>
      </c>
      <c r="O8" s="898"/>
      <c r="P8" s="869" t="s">
        <v>23</v>
      </c>
      <c r="Q8" s="14"/>
      <c r="R8" s="14"/>
      <c r="S8" s="14"/>
    </row>
    <row r="9" spans="1:25" s="23" customFormat="1" ht="15" customHeight="1" x14ac:dyDescent="0.35">
      <c r="A9" s="124"/>
      <c r="B9" s="14"/>
      <c r="C9" s="125"/>
      <c r="D9" s="125"/>
      <c r="E9" s="125"/>
      <c r="F9" s="47"/>
      <c r="G9" s="285"/>
      <c r="H9" s="285"/>
      <c r="I9" s="285"/>
      <c r="J9" s="285"/>
      <c r="K9" s="866"/>
      <c r="L9" s="866"/>
      <c r="M9" s="866"/>
      <c r="N9" s="898"/>
      <c r="O9" s="898"/>
      <c r="P9" s="869"/>
      <c r="Q9" s="26"/>
      <c r="R9" s="26"/>
      <c r="S9" s="26"/>
      <c r="T9" s="22"/>
      <c r="U9" s="22"/>
      <c r="V9" s="22"/>
      <c r="W9" s="22"/>
      <c r="X9" s="22"/>
      <c r="Y9" s="22"/>
    </row>
    <row r="10" spans="1:25" ht="15" customHeight="1" x14ac:dyDescent="0.35">
      <c r="A10" s="124"/>
      <c r="B10" s="14"/>
      <c r="C10" s="125"/>
      <c r="D10" s="125"/>
      <c r="E10" s="125"/>
      <c r="F10" s="47"/>
      <c r="G10" s="47"/>
      <c r="H10" s="47"/>
      <c r="I10" s="124"/>
      <c r="J10" s="124"/>
      <c r="K10" s="124"/>
      <c r="L10" s="124"/>
      <c r="M10" s="124"/>
      <c r="N10" s="124"/>
      <c r="O10" s="124"/>
      <c r="P10" s="124"/>
      <c r="Q10" s="124"/>
      <c r="R10" s="124"/>
      <c r="S10" s="124"/>
    </row>
    <row r="11" spans="1:25" ht="15" customHeight="1" thickBot="1" x14ac:dyDescent="0.4">
      <c r="A11" s="124"/>
      <c r="B11" s="14"/>
      <c r="C11" s="14"/>
      <c r="D11" s="14"/>
      <c r="E11" s="14"/>
      <c r="F11" s="14"/>
      <c r="G11" s="14"/>
      <c r="H11" s="14"/>
      <c r="I11" s="124"/>
      <c r="J11" s="124"/>
      <c r="K11" s="124"/>
      <c r="L11" s="124"/>
      <c r="M11" s="124"/>
      <c r="N11" s="124"/>
      <c r="O11" s="124"/>
      <c r="P11" s="124"/>
      <c r="Q11" s="124"/>
      <c r="R11" s="124"/>
      <c r="S11" s="124"/>
    </row>
    <row r="12" spans="1:25" ht="15" customHeight="1" thickTop="1" x14ac:dyDescent="0.35">
      <c r="A12" s="124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24"/>
      <c r="M12" s="15"/>
      <c r="N12" s="15"/>
      <c r="O12" s="15"/>
      <c r="P12" s="15"/>
      <c r="Q12" s="15"/>
      <c r="R12" s="15"/>
      <c r="S12" s="124"/>
    </row>
    <row r="13" spans="1:25" s="23" customFormat="1" ht="15" customHeight="1" x14ac:dyDescent="0.3">
      <c r="A13" s="26"/>
      <c r="B13" s="31"/>
      <c r="C13" s="1054" t="s">
        <v>445</v>
      </c>
      <c r="D13" s="965">
        <v>200</v>
      </c>
      <c r="E13" s="965"/>
      <c r="F13" s="869" t="s">
        <v>54</v>
      </c>
      <c r="G13" s="866" t="s">
        <v>55</v>
      </c>
      <c r="H13" s="866"/>
      <c r="I13" s="965">
        <v>1</v>
      </c>
      <c r="J13" s="965"/>
      <c r="K13" s="963" t="s">
        <v>56</v>
      </c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</row>
    <row r="14" spans="1:25" ht="15" customHeight="1" x14ac:dyDescent="0.3">
      <c r="A14" s="124"/>
      <c r="B14" s="8"/>
      <c r="C14" s="1055"/>
      <c r="D14" s="965"/>
      <c r="E14" s="965"/>
      <c r="F14" s="869"/>
      <c r="G14" s="866"/>
      <c r="H14" s="866"/>
      <c r="I14" s="965"/>
      <c r="J14" s="965"/>
      <c r="K14" s="963"/>
      <c r="L14" s="26"/>
      <c r="M14" s="899" t="str">
        <f>IF(F25="","","Heat loss")</f>
        <v>Heat loss</v>
      </c>
      <c r="N14" s="899"/>
      <c r="O14" s="1012">
        <f>IF(F25="","",S45)</f>
        <v>1365.3704600930255</v>
      </c>
      <c r="P14" s="1012"/>
      <c r="Q14" s="909" t="str">
        <f>IF(F25="","","kWh/a")</f>
        <v>kWh/a</v>
      </c>
      <c r="R14" s="909"/>
      <c r="S14" s="124"/>
    </row>
    <row r="15" spans="1:25" ht="15" customHeight="1" x14ac:dyDescent="0.3">
      <c r="A15" s="124"/>
      <c r="B15" s="8"/>
      <c r="C15" s="124"/>
      <c r="D15" s="124"/>
      <c r="E15" s="124"/>
      <c r="F15" s="33"/>
      <c r="G15" s="33"/>
      <c r="H15" s="124"/>
      <c r="I15" s="15"/>
      <c r="J15" s="15"/>
      <c r="K15" s="45"/>
      <c r="L15" s="15"/>
      <c r="M15" s="899"/>
      <c r="N15" s="899"/>
      <c r="O15" s="1012"/>
      <c r="P15" s="1012"/>
      <c r="Q15" s="909"/>
      <c r="R15" s="909"/>
      <c r="S15" s="124"/>
    </row>
    <row r="16" spans="1:25" ht="15" customHeight="1" x14ac:dyDescent="0.3">
      <c r="A16" s="124"/>
      <c r="B16" s="8"/>
      <c r="C16" s="124"/>
      <c r="D16" s="124"/>
      <c r="E16" s="124"/>
      <c r="F16" s="33"/>
      <c r="G16" s="33"/>
      <c r="H16" s="124"/>
      <c r="I16" s="27"/>
      <c r="J16" s="27"/>
      <c r="K16" s="45"/>
      <c r="L16" s="27"/>
      <c r="M16" s="899"/>
      <c r="N16" s="899"/>
      <c r="O16" s="1014">
        <f>IF(F25=0,"",T45)</f>
        <v>68.268523004651271</v>
      </c>
      <c r="P16" s="1014"/>
      <c r="Q16" s="911" t="str">
        <f>IF(F25=0,"","€/a")</f>
        <v>€/a</v>
      </c>
      <c r="R16" s="911"/>
      <c r="S16" s="124"/>
    </row>
    <row r="17" spans="1:25" s="23" customFormat="1" ht="15" customHeight="1" x14ac:dyDescent="0.3">
      <c r="A17" s="26"/>
      <c r="B17" s="31"/>
      <c r="C17" s="869" t="s">
        <v>109</v>
      </c>
      <c r="D17" s="869"/>
      <c r="E17" s="869"/>
      <c r="F17" s="908" t="s">
        <v>379</v>
      </c>
      <c r="G17" s="908"/>
      <c r="H17" s="52">
        <f>IF(F17="","",VLOOKUP(F17,'Default values '!A2:B7,2,FALSE))</f>
        <v>0.9</v>
      </c>
      <c r="I17" s="27"/>
      <c r="J17" s="27"/>
      <c r="K17" s="51"/>
      <c r="L17" s="27"/>
      <c r="M17" s="899"/>
      <c r="N17" s="899"/>
      <c r="O17" s="1014"/>
      <c r="P17" s="1014"/>
      <c r="Q17" s="911"/>
      <c r="R17" s="911"/>
      <c r="S17" s="26"/>
      <c r="T17" s="22"/>
      <c r="U17" s="22"/>
      <c r="V17" s="22"/>
      <c r="W17" s="22"/>
      <c r="X17" s="22"/>
      <c r="Y17" s="22"/>
    </row>
    <row r="18" spans="1:25" ht="15" customHeight="1" x14ac:dyDescent="0.3">
      <c r="A18" s="124"/>
      <c r="B18" s="8"/>
      <c r="C18" s="869"/>
      <c r="D18" s="869"/>
      <c r="E18" s="869"/>
      <c r="F18" s="908"/>
      <c r="G18" s="908"/>
      <c r="H18" s="15"/>
      <c r="I18" s="124"/>
      <c r="J18" s="124"/>
      <c r="K18" s="9"/>
      <c r="L18" s="124"/>
      <c r="M18" s="912" t="str">
        <f>IF(F25="","",IF(U48&lt;0,"","Saving potential"))</f>
        <v>Saving potential</v>
      </c>
      <c r="N18" s="912"/>
      <c r="O18" s="988">
        <f>IF(F25=0,"",IF(U48&lt;0,"",U48))</f>
        <v>190.73057116923155</v>
      </c>
      <c r="P18" s="988">
        <f>IF(F25=0,"",IF(U49&lt;0,"",U49))</f>
        <v>366.92655450780046</v>
      </c>
      <c r="Q18" s="961" t="str">
        <f>IF(F25="","",IF(U48&lt;0,"","kWh/a"))</f>
        <v>kWh/a</v>
      </c>
      <c r="R18" s="961"/>
      <c r="S18" s="124"/>
    </row>
    <row r="19" spans="1:25" ht="15" customHeight="1" x14ac:dyDescent="0.3">
      <c r="A19" s="124"/>
      <c r="B19" s="8"/>
      <c r="C19" s="15"/>
      <c r="D19" s="15"/>
      <c r="E19" s="15"/>
      <c r="F19" s="33"/>
      <c r="G19" s="33"/>
      <c r="H19" s="15"/>
      <c r="I19" s="124"/>
      <c r="J19" s="124"/>
      <c r="K19" s="9"/>
      <c r="L19" s="124"/>
      <c r="M19" s="912"/>
      <c r="N19" s="912"/>
      <c r="O19" s="988"/>
      <c r="P19" s="988"/>
      <c r="Q19" s="961"/>
      <c r="R19" s="961"/>
      <c r="S19" s="124"/>
    </row>
    <row r="20" spans="1:25" ht="15" customHeight="1" x14ac:dyDescent="0.3">
      <c r="A20" s="124"/>
      <c r="B20" s="8"/>
      <c r="C20" s="124"/>
      <c r="D20" s="124"/>
      <c r="E20" s="124"/>
      <c r="F20" s="33"/>
      <c r="G20" s="33"/>
      <c r="H20" s="124"/>
      <c r="I20" s="124"/>
      <c r="J20" s="124"/>
      <c r="K20" s="9"/>
      <c r="L20" s="124"/>
      <c r="M20" s="912"/>
      <c r="N20" s="912"/>
      <c r="O20" s="989">
        <f>IF(F25=0,"",IF(V48&lt;0,"",V48))</f>
        <v>9.5365285584615691</v>
      </c>
      <c r="P20" s="989">
        <f>IF(F25=0,"",IF(V48&lt;0,"",V49))</f>
        <v>18.346327725390019</v>
      </c>
      <c r="Q20" s="962" t="str">
        <f>IF(F25="","",IF(U48&lt;0,"","€/a"))</f>
        <v>€/a</v>
      </c>
      <c r="R20" s="962"/>
      <c r="S20" s="124"/>
    </row>
    <row r="21" spans="1:25" s="23" customFormat="1" ht="15" customHeight="1" x14ac:dyDescent="0.3">
      <c r="A21" s="26"/>
      <c r="B21" s="31"/>
      <c r="C21" s="869" t="s">
        <v>39</v>
      </c>
      <c r="D21" s="869"/>
      <c r="E21" s="869"/>
      <c r="F21" s="898">
        <v>12</v>
      </c>
      <c r="G21" s="898"/>
      <c r="H21" s="869" t="s">
        <v>23</v>
      </c>
      <c r="I21" s="26"/>
      <c r="J21" s="26"/>
      <c r="K21" s="51"/>
      <c r="L21" s="26"/>
      <c r="M21" s="912"/>
      <c r="N21" s="912"/>
      <c r="O21" s="989"/>
      <c r="P21" s="989"/>
      <c r="Q21" s="962"/>
      <c r="R21" s="962"/>
      <c r="S21" s="26"/>
      <c r="T21" s="22"/>
      <c r="U21" s="22"/>
      <c r="V21" s="22"/>
      <c r="W21" s="22"/>
      <c r="X21" s="22"/>
      <c r="Y21" s="22"/>
    </row>
    <row r="22" spans="1:25" ht="15" customHeight="1" x14ac:dyDescent="0.3">
      <c r="A22" s="124"/>
      <c r="B22" s="8"/>
      <c r="C22" s="869"/>
      <c r="D22" s="869"/>
      <c r="E22" s="869"/>
      <c r="F22" s="898"/>
      <c r="G22" s="898"/>
      <c r="H22" s="869"/>
      <c r="I22" s="124"/>
      <c r="J22" s="124"/>
      <c r="K22" s="9"/>
      <c r="L22" s="124"/>
      <c r="M22" s="46"/>
      <c r="N22" s="46"/>
      <c r="O22" s="46"/>
      <c r="P22" s="46"/>
      <c r="Q22" s="46"/>
      <c r="R22" s="46"/>
      <c r="S22" s="124"/>
    </row>
    <row r="23" spans="1:25" ht="15" customHeight="1" x14ac:dyDescent="0.3">
      <c r="A23" s="124"/>
      <c r="B23" s="8"/>
      <c r="C23" s="124"/>
      <c r="D23" s="124"/>
      <c r="E23" s="124"/>
      <c r="F23" s="124"/>
      <c r="G23" s="124"/>
      <c r="H23" s="18"/>
      <c r="I23" s="19"/>
      <c r="J23" s="19"/>
      <c r="K23" s="45"/>
      <c r="L23" s="124"/>
      <c r="M23" s="50"/>
      <c r="N23" s="48"/>
      <c r="O23" s="48"/>
      <c r="P23" s="48"/>
      <c r="Q23" s="48"/>
      <c r="R23" s="48"/>
      <c r="S23" s="124"/>
    </row>
    <row r="24" spans="1:25" ht="15" customHeight="1" x14ac:dyDescent="0.3">
      <c r="A24" s="124"/>
      <c r="B24" s="8"/>
      <c r="C24" s="124"/>
      <c r="D24" s="124"/>
      <c r="E24" s="124"/>
      <c r="F24" s="124"/>
      <c r="G24" s="124"/>
      <c r="H24" s="19"/>
      <c r="I24" s="19"/>
      <c r="J24" s="19"/>
      <c r="K24" s="45"/>
      <c r="L24" s="124"/>
      <c r="M24" s="54"/>
      <c r="N24" s="49"/>
      <c r="O24" s="49"/>
      <c r="P24" s="49"/>
      <c r="Q24" s="48"/>
      <c r="R24" s="48"/>
      <c r="S24" s="124"/>
    </row>
    <row r="25" spans="1:25" ht="15" customHeight="1" x14ac:dyDescent="0.3">
      <c r="A25" s="26"/>
      <c r="B25" s="8"/>
      <c r="C25" s="869" t="s">
        <v>41</v>
      </c>
      <c r="D25" s="869"/>
      <c r="E25" s="869"/>
      <c r="F25" s="898">
        <v>36</v>
      </c>
      <c r="G25" s="898"/>
      <c r="H25" s="869" t="s">
        <v>23</v>
      </c>
      <c r="I25" s="19"/>
      <c r="J25" s="19"/>
      <c r="K25" s="45"/>
      <c r="L25" s="124"/>
      <c r="M25" s="904" t="str">
        <f>IF(F25="","",M50)</f>
        <v>"Savings can be achieved by increasing the insulant performance or thickness"</v>
      </c>
      <c r="N25" s="904"/>
      <c r="O25" s="904"/>
      <c r="P25" s="904"/>
      <c r="Q25" s="48"/>
      <c r="R25" s="48"/>
      <c r="S25" s="124"/>
    </row>
    <row r="26" spans="1:25" ht="15" customHeight="1" x14ac:dyDescent="0.3">
      <c r="A26" s="124"/>
      <c r="B26" s="8"/>
      <c r="C26" s="869"/>
      <c r="D26" s="869"/>
      <c r="E26" s="869"/>
      <c r="F26" s="898"/>
      <c r="G26" s="898"/>
      <c r="H26" s="869"/>
      <c r="I26" s="19"/>
      <c r="J26" s="19"/>
      <c r="K26" s="45"/>
      <c r="L26" s="124"/>
      <c r="M26" s="904"/>
      <c r="N26" s="904"/>
      <c r="O26" s="904"/>
      <c r="P26" s="904"/>
      <c r="Q26" s="48"/>
      <c r="R26" s="124"/>
      <c r="S26" s="124"/>
    </row>
    <row r="27" spans="1:25" ht="15" customHeight="1" thickBot="1" x14ac:dyDescent="0.35">
      <c r="A27" s="12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24"/>
      <c r="M27" s="904"/>
      <c r="N27" s="904"/>
      <c r="O27" s="904"/>
      <c r="P27" s="904"/>
      <c r="Q27" s="48"/>
      <c r="R27" s="124"/>
      <c r="S27" s="124"/>
    </row>
    <row r="28" spans="1:25" ht="15" customHeight="1" thickTop="1" thickBot="1" x14ac:dyDescent="0.35">
      <c r="A28" s="124"/>
      <c r="B28" s="124"/>
      <c r="C28" s="124"/>
      <c r="D28" s="124"/>
      <c r="E28" s="124"/>
      <c r="F28" s="124"/>
      <c r="G28" s="124"/>
      <c r="H28" s="124"/>
      <c r="I28" s="124"/>
      <c r="J28" s="124"/>
      <c r="K28" s="124"/>
      <c r="L28" s="124"/>
      <c r="M28" s="124"/>
      <c r="N28" s="124"/>
      <c r="O28" s="124"/>
      <c r="P28" s="124"/>
      <c r="Q28" s="124"/>
      <c r="R28" s="124"/>
      <c r="S28" s="124"/>
    </row>
    <row r="29" spans="1:25" ht="15" customHeight="1" thickTop="1" x14ac:dyDescent="0.3">
      <c r="A29" s="12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24"/>
    </row>
    <row r="30" spans="1:25" x14ac:dyDescent="0.3">
      <c r="A30" s="12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5" x14ac:dyDescent="0.3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5" x14ac:dyDescent="0.3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9" x14ac:dyDescent="0.3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9" x14ac:dyDescent="0.3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9" x14ac:dyDescent="0.3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9" x14ac:dyDescent="0.3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9" x14ac:dyDescent="0.3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9" x14ac:dyDescent="0.3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9" x14ac:dyDescent="0.3">
      <c r="A39" s="12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9" x14ac:dyDescent="0.3">
      <c r="A40" s="12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9" x14ac:dyDescent="0.3">
      <c r="A41" s="12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9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9" ht="70.2" x14ac:dyDescent="0.6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316" t="s">
        <v>188</v>
      </c>
      <c r="S43" s="1053"/>
      <c r="T43" s="1053"/>
      <c r="U43" s="1035" t="s">
        <v>111</v>
      </c>
      <c r="V43" s="1035"/>
      <c r="W43" s="207" t="s">
        <v>160</v>
      </c>
    </row>
    <row r="44" spans="1:29" ht="51.6" thickBot="1" x14ac:dyDescent="0.35">
      <c r="A44" s="893" t="s">
        <v>5</v>
      </c>
      <c r="B44" s="894"/>
      <c r="C44" s="290" t="s">
        <v>169</v>
      </c>
      <c r="D44" s="87" t="s">
        <v>112</v>
      </c>
      <c r="E44" s="87" t="s">
        <v>113</v>
      </c>
      <c r="F44" s="88" t="s">
        <v>43</v>
      </c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9" t="s">
        <v>14</v>
      </c>
      <c r="M44" s="118" t="s">
        <v>116</v>
      </c>
      <c r="N44" s="89" t="s">
        <v>163</v>
      </c>
      <c r="O44" s="89" t="s">
        <v>115</v>
      </c>
      <c r="P44" s="89" t="s">
        <v>27</v>
      </c>
      <c r="Q44" s="119" t="s">
        <v>117</v>
      </c>
      <c r="R44" s="84" t="s">
        <v>150</v>
      </c>
      <c r="S44" s="86" t="s">
        <v>94</v>
      </c>
      <c r="T44" s="86" t="s">
        <v>95</v>
      </c>
      <c r="U44" s="86"/>
      <c r="V44" s="86"/>
      <c r="W44" s="208" t="s">
        <v>165</v>
      </c>
      <c r="X44" s="214" t="s">
        <v>161</v>
      </c>
      <c r="Y44" s="120" t="s">
        <v>166</v>
      </c>
      <c r="Z44" s="120"/>
      <c r="AA44" s="16"/>
      <c r="AB44" s="16"/>
      <c r="AC44" s="16"/>
    </row>
    <row r="45" spans="1:29" ht="15" thickBot="1" x14ac:dyDescent="0.35">
      <c r="A45" s="1047" t="str">
        <f>G5</f>
        <v>Pipe preheater-burner</v>
      </c>
      <c r="B45" s="1048"/>
      <c r="C45" s="291">
        <f>D13</f>
        <v>200</v>
      </c>
      <c r="D45" s="234">
        <f>VLOOKUP(C45,A84:B123,2,TRUE)</f>
        <v>0.22</v>
      </c>
      <c r="E45" s="291">
        <f>I13</f>
        <v>1</v>
      </c>
      <c r="F45" s="291">
        <f>N8</f>
        <v>400</v>
      </c>
      <c r="G45" s="232">
        <f>F25</f>
        <v>36</v>
      </c>
      <c r="H45" s="232">
        <f>F21</f>
        <v>12</v>
      </c>
      <c r="I45" s="236">
        <f>H17</f>
        <v>0.9</v>
      </c>
      <c r="J45" s="232">
        <f>P5</f>
        <v>8760</v>
      </c>
      <c r="K45" s="236">
        <f>TBi!L27</f>
        <v>0.05</v>
      </c>
      <c r="L45" s="131">
        <f>IF(G45=0,"",I45*D56*(((G45+273)^4-(H45+273)^4)/(G45-H45)))</f>
        <v>5.3566271589112917</v>
      </c>
      <c r="M45" s="167">
        <f>D45^3*ABS(G45-H45)</f>
        <v>0.255552</v>
      </c>
      <c r="N45" s="132">
        <f>IF(G45=0,"",1.25*(ABS(G45-H45)/D45)^0.25)</f>
        <v>4.0397747766238989</v>
      </c>
      <c r="O45" s="132">
        <f>1.21*(ABS(G45-H45))^0.33</f>
        <v>3.4534651684391284</v>
      </c>
      <c r="P45" s="132">
        <f>IF(M45&lt;10,N45+L45,O45+L45)</f>
        <v>9.3964019355351915</v>
      </c>
      <c r="Q45" s="168">
        <f>1/(D55*P45*D45)</f>
        <v>0.15398018790129375</v>
      </c>
      <c r="R45" s="133">
        <f>IF(G45=0,"",ABS(G45-H45)/Q45)</f>
        <v>155.86420777317645</v>
      </c>
      <c r="S45" s="134">
        <f>IF(G45=0,"",R45*J45*E45/1000)</f>
        <v>1365.3704600930255</v>
      </c>
      <c r="T45" s="182">
        <f>IF(G45=0,"",S45*K45)</f>
        <v>68.268523004651271</v>
      </c>
      <c r="U45" s="67"/>
      <c r="V45" s="67"/>
      <c r="W45" s="209">
        <f>(F45-G45)/R45</f>
        <v>2.3353661831696222</v>
      </c>
      <c r="X45" s="209">
        <f>(D45-Y45)/2</f>
        <v>8.6601684325149211E-2</v>
      </c>
      <c r="Y45" s="215">
        <f>D45/EXP(2*D55*Y57*W45)</f>
        <v>4.6796631349701585E-2</v>
      </c>
      <c r="Z45" s="123"/>
      <c r="AA45" s="16"/>
      <c r="AB45" s="16"/>
      <c r="AC45" s="16"/>
    </row>
    <row r="46" spans="1:29" ht="15" thickBot="1" x14ac:dyDescent="0.35">
      <c r="A46" s="1047" t="s">
        <v>323</v>
      </c>
      <c r="B46" s="1048"/>
      <c r="C46" s="291"/>
      <c r="D46" s="234">
        <f t="shared" ref="D46:F47" si="0">D45</f>
        <v>0.22</v>
      </c>
      <c r="E46" s="291">
        <f t="shared" si="0"/>
        <v>1</v>
      </c>
      <c r="F46" s="291">
        <f t="shared" si="0"/>
        <v>400</v>
      </c>
      <c r="G46" s="433">
        <f>D66</f>
        <v>55</v>
      </c>
      <c r="H46" s="433">
        <f>D67</f>
        <v>35</v>
      </c>
      <c r="I46" s="236">
        <f>D68</f>
        <v>0.8</v>
      </c>
      <c r="J46" s="232">
        <f>J45</f>
        <v>8760</v>
      </c>
      <c r="K46" s="236">
        <f>K45</f>
        <v>0.05</v>
      </c>
      <c r="L46" s="131">
        <f>IF(G46=0,"",I46*D56*(((G46+273)^4-(H46+273)^4)/(G46-H46)))</f>
        <v>5.8407922844206084</v>
      </c>
      <c r="M46" s="167">
        <f>D46^3*ABS(G46-H46)</f>
        <v>0.21295999999999998</v>
      </c>
      <c r="N46" s="132">
        <f>IF(G46=0,"",1.25*(ABS(G46-H46)/D46)^0.25)</f>
        <v>3.8597736924543096</v>
      </c>
      <c r="O46" s="132">
        <f>1.21*(ABS(G46-H46))^0.33</f>
        <v>3.2518107982771776</v>
      </c>
      <c r="P46" s="132">
        <f>IF(M46&lt;10,N46+L46,O46+L46)</f>
        <v>9.700565976874918</v>
      </c>
      <c r="Q46" s="168">
        <f>1/(D55*P46*D46)</f>
        <v>0.14915209474157937</v>
      </c>
      <c r="R46" s="133">
        <f>IF(G46=0,"",ABS(G46-H46)/Q46)</f>
        <v>134.09131152098107</v>
      </c>
      <c r="S46" s="134">
        <f>IF(G46=0,"",R46*J46*E46/1000)</f>
        <v>1174.6398889237939</v>
      </c>
      <c r="T46" s="182">
        <f>IF(G46=0,"",S46*K46)</f>
        <v>58.731994446189702</v>
      </c>
      <c r="U46" s="85"/>
      <c r="V46" s="85"/>
      <c r="W46" s="209">
        <f>(F46-G46)/R46</f>
        <v>2.572873634292244</v>
      </c>
      <c r="X46" s="213">
        <f>(Y45*EXP(2*D55*Y57*W46)-Y45)/2</f>
        <v>0.10535441608645277</v>
      </c>
      <c r="Y46" s="123"/>
      <c r="Z46" s="123"/>
      <c r="AA46" s="16"/>
      <c r="AB46" s="16"/>
      <c r="AC46" s="16"/>
    </row>
    <row r="47" spans="1:29" s="16" customFormat="1" ht="18" x14ac:dyDescent="0.3">
      <c r="A47" s="1047" t="s">
        <v>324</v>
      </c>
      <c r="B47" s="1048"/>
      <c r="C47" s="396"/>
      <c r="D47" s="234">
        <f t="shared" si="0"/>
        <v>0.22</v>
      </c>
      <c r="E47" s="396">
        <f t="shared" si="0"/>
        <v>1</v>
      </c>
      <c r="F47" s="396">
        <f t="shared" si="0"/>
        <v>400</v>
      </c>
      <c r="G47" s="396">
        <v>55</v>
      </c>
      <c r="H47" s="396">
        <v>35</v>
      </c>
      <c r="I47" s="236"/>
      <c r="J47" s="232"/>
      <c r="K47" s="236"/>
      <c r="L47" s="131"/>
      <c r="M47" s="167"/>
      <c r="N47" s="132"/>
      <c r="O47" s="132"/>
      <c r="P47" s="132"/>
      <c r="Q47" s="168"/>
      <c r="R47" s="436">
        <f>R46*D69</f>
        <v>113.9776147928339</v>
      </c>
      <c r="S47" s="134">
        <f>IF(G46=0,"",R47*J46*E46/1000)</f>
        <v>998.44390558522502</v>
      </c>
      <c r="T47" s="182">
        <f>IF(G46=0,"",S47*K46)</f>
        <v>49.922195279261253</v>
      </c>
      <c r="U47" s="194" t="s">
        <v>71</v>
      </c>
      <c r="V47" s="195" t="s">
        <v>24</v>
      </c>
      <c r="W47" s="209">
        <f>(F47-G47)/R47</f>
        <v>3.0269101579908755</v>
      </c>
      <c r="X47" s="213">
        <f>(Y45*EXP(2*D55*Y57*W47)-Y45)/2</f>
        <v>0.1505601639832802</v>
      </c>
    </row>
    <row r="48" spans="1:29" s="16" customFormat="1" x14ac:dyDescent="0.3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 t="s">
        <v>223</v>
      </c>
      <c r="L48" s="65"/>
      <c r="M48" s="64"/>
      <c r="N48" s="216">
        <f>IF(G46=0,"",1.25*((G46-H46)/(D46+2*D71))^0.25)</f>
        <v>3.5146332824396822</v>
      </c>
      <c r="O48" s="217">
        <f>1.21*((G46-H46))^0.33</f>
        <v>3.2518107982771776</v>
      </c>
      <c r="P48" s="217">
        <f>IF(M46&lt;10,N46+L46,O46+L46)</f>
        <v>9.700565976874918</v>
      </c>
      <c r="Q48" s="218">
        <f>1/(D55*P46*(D46+2*D71))</f>
        <v>0.10254206513483581</v>
      </c>
      <c r="R48" s="219">
        <f>IF(G46=0,"",(G46-H46)/Q48)</f>
        <v>195.04190766688154</v>
      </c>
      <c r="S48" s="37"/>
      <c r="T48" s="37"/>
      <c r="U48" s="192">
        <f>S45-S46</f>
        <v>190.73057116923155</v>
      </c>
      <c r="V48" s="85">
        <f>T45-T46</f>
        <v>9.5365285584615691</v>
      </c>
      <c r="W48" s="208"/>
      <c r="X48" s="208"/>
    </row>
    <row r="49" spans="1:25" s="16" customFormat="1" ht="15" thickBot="1" x14ac:dyDescent="0.35">
      <c r="A49" s="62"/>
      <c r="B49" s="62"/>
      <c r="C49" s="63"/>
      <c r="D49" s="63"/>
      <c r="E49" s="191"/>
      <c r="F49" s="65"/>
      <c r="G49" s="63"/>
      <c r="H49" s="63"/>
      <c r="I49" s="63"/>
      <c r="J49" s="64"/>
      <c r="K49" s="65"/>
      <c r="L49" s="64"/>
      <c r="M49" s="66"/>
      <c r="N49" s="129"/>
      <c r="O49" s="129"/>
      <c r="P49" s="135"/>
      <c r="Q49" s="135"/>
      <c r="R49" s="37"/>
      <c r="S49" s="37"/>
      <c r="T49" s="37"/>
      <c r="U49" s="192">
        <f>S45-S47</f>
        <v>366.92655450780046</v>
      </c>
      <c r="V49" s="192">
        <f>T45-T47</f>
        <v>18.346327725390019</v>
      </c>
      <c r="W49" s="207"/>
      <c r="X49" s="207"/>
    </row>
    <row r="50" spans="1:25" s="16" customFormat="1" ht="15" thickBot="1" x14ac:dyDescent="0.35">
      <c r="A50" s="62"/>
      <c r="B50" s="62"/>
      <c r="C50" s="62"/>
      <c r="D50" s="63"/>
      <c r="E50" s="64"/>
      <c r="F50" s="64"/>
      <c r="G50" s="63"/>
      <c r="H50" s="63"/>
      <c r="I50" s="63"/>
      <c r="J50" s="64"/>
      <c r="K50" s="65"/>
      <c r="L50" s="64"/>
      <c r="M50" s="998" t="s">
        <v>422</v>
      </c>
      <c r="N50" s="999"/>
      <c r="O50" s="999"/>
      <c r="P50" s="999"/>
      <c r="Q50" s="999"/>
      <c r="R50" s="1000"/>
      <c r="S50" s="37"/>
      <c r="T50" s="37"/>
      <c r="U50" s="37"/>
      <c r="W50" s="1049" t="s">
        <v>120</v>
      </c>
      <c r="X50" s="1050"/>
    </row>
    <row r="51" spans="1:25" s="16" customFormat="1" ht="15" thickBot="1" x14ac:dyDescent="0.35">
      <c r="A51" s="62"/>
      <c r="B51" s="62"/>
      <c r="C51" s="62"/>
      <c r="D51" s="63"/>
      <c r="E51" s="66"/>
      <c r="F51" s="17"/>
      <c r="G51" s="63"/>
      <c r="H51" s="63"/>
      <c r="I51" s="63"/>
      <c r="J51" s="64"/>
      <c r="K51" s="65"/>
      <c r="L51" s="64"/>
      <c r="M51" s="1001"/>
      <c r="N51" s="1002"/>
      <c r="O51" s="1002"/>
      <c r="P51" s="1002"/>
      <c r="Q51" s="1002"/>
      <c r="R51" s="1003"/>
      <c r="S51" s="37"/>
      <c r="T51" s="37"/>
      <c r="U51" s="37"/>
      <c r="W51" s="220" t="s">
        <v>63</v>
      </c>
      <c r="X51" s="300">
        <v>1.5</v>
      </c>
    </row>
    <row r="52" spans="1:25" s="16" customFormat="1" ht="15" thickBot="1" x14ac:dyDescent="0.35">
      <c r="A52" s="62"/>
      <c r="B52" s="62"/>
      <c r="C52" s="62"/>
      <c r="D52" s="63"/>
      <c r="E52" s="64"/>
      <c r="F52" s="64"/>
      <c r="G52" s="63"/>
      <c r="H52" s="63"/>
      <c r="I52" s="63"/>
      <c r="J52" s="64"/>
      <c r="K52" s="65"/>
      <c r="L52" s="64"/>
      <c r="M52" s="1004"/>
      <c r="N52" s="1005"/>
      <c r="O52" s="1005"/>
      <c r="P52" s="1005"/>
      <c r="Q52" s="1005"/>
      <c r="R52" s="1006"/>
      <c r="S52" s="37"/>
      <c r="T52" s="37"/>
      <c r="U52" s="37"/>
      <c r="W52" s="221" t="s">
        <v>57</v>
      </c>
      <c r="X52" s="301">
        <f>0.0338</f>
        <v>3.3799999999999997E-2</v>
      </c>
    </row>
    <row r="53" spans="1:25" s="16" customFormat="1" x14ac:dyDescent="0.3">
      <c r="A53" s="62"/>
      <c r="B53" s="62"/>
      <c r="C53" s="62"/>
      <c r="D53" s="63"/>
      <c r="E53" s="64"/>
      <c r="F53" s="64"/>
      <c r="G53" s="63"/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  <c r="U53" s="37"/>
      <c r="W53" s="221" t="s">
        <v>58</v>
      </c>
      <c r="X53" s="222">
        <v>1.1730000000000001E-4</v>
      </c>
    </row>
    <row r="54" spans="1:25" s="16" customFormat="1" ht="15" thickBot="1" x14ac:dyDescent="0.35">
      <c r="A54" s="947" t="s">
        <v>119</v>
      </c>
      <c r="B54" s="947"/>
      <c r="C54" s="947"/>
      <c r="D54" s="947"/>
      <c r="E54" s="947"/>
      <c r="F54" s="947"/>
      <c r="G54" s="947"/>
      <c r="H54" s="947"/>
      <c r="I54" s="947"/>
      <c r="J54" s="947"/>
      <c r="K54" s="947"/>
      <c r="L54" s="947"/>
      <c r="M54" s="947"/>
      <c r="N54" s="947"/>
      <c r="O54" s="947"/>
      <c r="P54" s="947"/>
      <c r="Q54" s="947"/>
      <c r="R54" s="947"/>
      <c r="S54" s="947"/>
      <c r="T54" s="947"/>
      <c r="U54" s="185"/>
      <c r="W54" s="221" t="s">
        <v>59</v>
      </c>
      <c r="X54" s="222">
        <v>7.5450000000000004E-8</v>
      </c>
    </row>
    <row r="55" spans="1:25" s="2" customFormat="1" ht="15" thickBot="1" x14ac:dyDescent="0.35">
      <c r="A55" s="948" t="s">
        <v>174</v>
      </c>
      <c r="B55" s="949"/>
      <c r="C55" s="949"/>
      <c r="D55" s="240">
        <v>3.1415999999999999</v>
      </c>
      <c r="E55" s="63"/>
      <c r="F55" s="63"/>
      <c r="G55" s="63"/>
      <c r="H55" s="63"/>
      <c r="I55" s="63"/>
      <c r="J55" s="64"/>
      <c r="K55" s="65"/>
      <c r="L55" s="64"/>
      <c r="M55" s="66"/>
      <c r="N55" s="312"/>
      <c r="O55" s="312"/>
      <c r="P55" s="289"/>
      <c r="Q55" s="289"/>
      <c r="R55" s="299"/>
      <c r="S55" s="299"/>
      <c r="T55" s="299"/>
      <c r="U55" s="299"/>
      <c r="W55" s="223" t="s">
        <v>60</v>
      </c>
      <c r="X55" s="224">
        <v>7.109E-10</v>
      </c>
    </row>
    <row r="56" spans="1:25" s="2" customFormat="1" ht="15" thickBot="1" x14ac:dyDescent="0.35">
      <c r="A56" s="950" t="s">
        <v>90</v>
      </c>
      <c r="B56" s="949"/>
      <c r="C56" s="949"/>
      <c r="D56" s="313">
        <v>5.6703669999999997E-8</v>
      </c>
      <c r="E56" s="63"/>
      <c r="F56" s="63"/>
      <c r="G56" s="63"/>
      <c r="H56" s="63"/>
      <c r="I56" s="63" t="s">
        <v>142</v>
      </c>
      <c r="J56" s="64"/>
      <c r="K56" s="65"/>
      <c r="L56" s="64"/>
      <c r="M56" s="66"/>
      <c r="N56" s="312"/>
      <c r="O56" s="312"/>
      <c r="P56" s="289"/>
      <c r="Q56" s="289"/>
      <c r="R56" s="299"/>
      <c r="S56" s="299"/>
      <c r="T56" s="299"/>
      <c r="U56" s="299"/>
      <c r="W56" s="205"/>
      <c r="X56" s="205"/>
    </row>
    <row r="57" spans="1:25" s="2" customFormat="1" x14ac:dyDescent="0.3">
      <c r="A57" s="170"/>
      <c r="B57" s="95"/>
      <c r="C57" s="164"/>
      <c r="D57" s="63"/>
      <c r="E57" s="63"/>
      <c r="F57" s="62"/>
      <c r="G57" s="136"/>
      <c r="H57" s="63"/>
      <c r="I57" s="64"/>
      <c r="J57" s="65"/>
      <c r="K57" s="64"/>
      <c r="L57" s="66"/>
      <c r="M57" s="312"/>
      <c r="N57" s="336"/>
      <c r="O57" s="135"/>
      <c r="P57" s="135"/>
      <c r="Q57" s="37"/>
      <c r="R57" s="37"/>
      <c r="S57" s="37"/>
      <c r="T57" s="16"/>
      <c r="W57" s="302">
        <f>(F45+G45)/2</f>
        <v>218</v>
      </c>
      <c r="X57" s="225">
        <f>X52+X53*W57+X54*W57^2+X55*W57^3</f>
        <v>7.0322174728799994E-2</v>
      </c>
      <c r="Y57" s="225">
        <f>X57*X51</f>
        <v>0.1054832620932</v>
      </c>
    </row>
    <row r="58" spans="1:25" s="2" customFormat="1" x14ac:dyDescent="0.3">
      <c r="A58" s="170"/>
      <c r="B58" s="95"/>
      <c r="C58" s="164"/>
      <c r="D58" s="63"/>
      <c r="E58" s="186"/>
      <c r="F58" s="187"/>
      <c r="G58" s="188"/>
      <c r="H58" s="63"/>
      <c r="I58" s="64"/>
      <c r="J58" s="65"/>
      <c r="K58" s="64"/>
      <c r="L58" s="66"/>
      <c r="M58" s="312"/>
      <c r="N58" s="336"/>
      <c r="O58" s="135"/>
      <c r="P58" s="135"/>
      <c r="Q58" s="37"/>
      <c r="R58" s="37"/>
      <c r="S58" s="37"/>
      <c r="T58" s="16"/>
      <c r="Y58" s="226">
        <f>Y57</f>
        <v>0.1054832620932</v>
      </c>
    </row>
    <row r="59" spans="1:25" s="2" customFormat="1" x14ac:dyDescent="0.3">
      <c r="A59" s="170"/>
      <c r="B59" s="95"/>
      <c r="C59" s="176"/>
      <c r="D59" s="63"/>
      <c r="E59" s="186"/>
      <c r="F59" s="187"/>
      <c r="G59" s="188"/>
      <c r="H59" s="63"/>
      <c r="I59" s="64"/>
      <c r="J59" s="65"/>
      <c r="K59" s="64"/>
      <c r="L59" s="66"/>
      <c r="M59" s="312"/>
      <c r="N59" s="336"/>
      <c r="O59" s="135"/>
      <c r="P59" s="135"/>
      <c r="Q59" s="37"/>
      <c r="R59" s="37"/>
      <c r="S59" s="37"/>
      <c r="T59" s="16"/>
    </row>
    <row r="60" spans="1:25" s="2" customFormat="1" x14ac:dyDescent="0.3">
      <c r="A60" s="170"/>
      <c r="B60" s="95"/>
      <c r="C60" s="176"/>
      <c r="D60" s="63"/>
      <c r="E60" s="63"/>
      <c r="F60" s="63"/>
      <c r="G60" s="188"/>
      <c r="H60" s="63"/>
      <c r="I60" s="64"/>
      <c r="J60" s="65"/>
      <c r="K60" s="64"/>
      <c r="L60" s="66"/>
      <c r="M60" s="312"/>
      <c r="N60" s="336"/>
      <c r="O60" s="135"/>
      <c r="P60" s="135"/>
      <c r="Q60" s="37"/>
      <c r="R60" s="37"/>
      <c r="S60" s="37"/>
      <c r="T60" s="16"/>
    </row>
    <row r="61" spans="1:25" customFormat="1" x14ac:dyDescent="0.3">
      <c r="A61" s="62"/>
      <c r="B61" s="95"/>
      <c r="C61" s="176"/>
      <c r="D61" s="63"/>
      <c r="E61" s="63"/>
      <c r="F61" s="64"/>
      <c r="G61" s="65"/>
      <c r="H61" s="64"/>
      <c r="I61" s="66"/>
      <c r="J61" s="2"/>
      <c r="K61" s="2"/>
      <c r="L61" s="289"/>
      <c r="M61" s="289"/>
      <c r="N61" s="16"/>
      <c r="O61" s="1052"/>
      <c r="P61" s="1052"/>
      <c r="Q61" s="1052"/>
      <c r="R61" s="1052"/>
      <c r="S61" s="1052"/>
      <c r="T61" s="1052"/>
      <c r="U61" s="312"/>
      <c r="V61" s="2"/>
    </row>
    <row r="62" spans="1:25" customFormat="1" ht="15" thickBot="1" x14ac:dyDescent="0.35">
      <c r="A62" s="62"/>
      <c r="B62" s="16"/>
      <c r="C62" s="135"/>
      <c r="D62" s="41"/>
      <c r="E62" s="16"/>
      <c r="F62" s="16"/>
      <c r="G62" s="16"/>
      <c r="H62" s="64"/>
      <c r="I62" s="66"/>
      <c r="J62" s="2"/>
      <c r="K62" s="2"/>
      <c r="L62" s="289"/>
      <c r="M62" s="289"/>
      <c r="N62" s="16"/>
      <c r="O62" s="1018"/>
      <c r="P62" s="1018"/>
      <c r="Q62" s="1018"/>
      <c r="R62" s="317"/>
      <c r="S62" s="317"/>
      <c r="T62" s="16"/>
      <c r="U62" s="2"/>
      <c r="V62" s="2"/>
    </row>
    <row r="63" spans="1:25" customFormat="1" ht="15" thickBot="1" x14ac:dyDescent="0.35">
      <c r="A63" s="177"/>
      <c r="B63" s="178" t="s">
        <v>147</v>
      </c>
      <c r="C63" s="162"/>
      <c r="D63" s="303">
        <v>1.6</v>
      </c>
      <c r="E63" s="16"/>
      <c r="F63" s="16"/>
      <c r="G63" s="16"/>
      <c r="H63" s="64"/>
      <c r="I63" s="66"/>
      <c r="J63" s="2"/>
      <c r="K63" s="2"/>
      <c r="L63" s="289"/>
      <c r="M63" s="289"/>
      <c r="N63" s="16"/>
      <c r="O63" s="1018"/>
      <c r="P63" s="1018"/>
      <c r="Q63" s="1018"/>
      <c r="R63" s="317"/>
      <c r="S63" s="317"/>
      <c r="T63" s="16"/>
      <c r="U63" s="2"/>
      <c r="V63" s="2"/>
    </row>
    <row r="64" spans="1:25" customFormat="1" ht="15" thickBot="1" x14ac:dyDescent="0.35">
      <c r="A64" s="177"/>
      <c r="B64" s="178" t="s">
        <v>148</v>
      </c>
      <c r="C64" s="162"/>
      <c r="D64" s="303">
        <v>2</v>
      </c>
      <c r="E64" s="16"/>
      <c r="F64" s="16"/>
      <c r="G64" s="16"/>
      <c r="H64" s="64"/>
      <c r="I64" s="66"/>
      <c r="J64" s="2"/>
      <c r="K64" s="2"/>
      <c r="L64" s="289"/>
      <c r="M64" s="289"/>
      <c r="N64" s="16"/>
      <c r="O64" s="1018"/>
      <c r="P64" s="1018"/>
      <c r="Q64" s="1018"/>
      <c r="R64" s="317"/>
      <c r="S64" s="317"/>
      <c r="T64" s="16"/>
      <c r="U64" s="2"/>
      <c r="V64" s="2"/>
    </row>
    <row r="65" spans="1:27" customFormat="1" ht="15" thickBot="1" x14ac:dyDescent="0.35">
      <c r="A65" s="1023" t="s">
        <v>96</v>
      </c>
      <c r="B65" s="1024"/>
      <c r="C65" s="1025"/>
      <c r="D65" s="304">
        <v>55</v>
      </c>
      <c r="E65" s="179" t="s">
        <v>23</v>
      </c>
      <c r="F65" s="64"/>
      <c r="G65" s="65"/>
      <c r="H65" s="64"/>
      <c r="I65" s="66"/>
      <c r="J65" s="2"/>
      <c r="K65" s="2"/>
      <c r="L65" s="289"/>
      <c r="M65" s="289"/>
      <c r="N65" s="16"/>
      <c r="O65" s="1018"/>
      <c r="P65" s="1018"/>
      <c r="Q65" s="1018"/>
      <c r="R65" s="349"/>
      <c r="S65" s="317"/>
      <c r="T65" s="16"/>
      <c r="U65" s="2"/>
      <c r="V65" s="2"/>
    </row>
    <row r="66" spans="1:27" customFormat="1" ht="15" thickBot="1" x14ac:dyDescent="0.35">
      <c r="A66" s="1045" t="s">
        <v>151</v>
      </c>
      <c r="B66" s="1046"/>
      <c r="C66" s="1046"/>
      <c r="D66" s="531">
        <v>55</v>
      </c>
      <c r="E66" s="138"/>
      <c r="F66" s="139"/>
      <c r="G66" s="140"/>
      <c r="H66" s="139"/>
      <c r="I66" s="66"/>
      <c r="J66" s="2"/>
      <c r="K66" s="2"/>
      <c r="L66" s="289"/>
      <c r="M66" s="289"/>
      <c r="N66" s="16"/>
      <c r="O66" s="1018"/>
      <c r="P66" s="1018"/>
      <c r="Q66" s="1018"/>
      <c r="R66" s="37"/>
      <c r="S66" s="37"/>
      <c r="T66" s="16"/>
      <c r="U66" s="2"/>
      <c r="V66" s="2"/>
    </row>
    <row r="67" spans="1:27" customFormat="1" ht="15" thickBot="1" x14ac:dyDescent="0.35">
      <c r="A67" s="1043" t="s">
        <v>152</v>
      </c>
      <c r="B67" s="1044"/>
      <c r="C67" s="1044"/>
      <c r="D67" s="531">
        <v>35</v>
      </c>
      <c r="E67" s="138"/>
      <c r="F67" s="139"/>
      <c r="G67" s="140"/>
      <c r="H67" s="139"/>
      <c r="I67" s="66"/>
      <c r="J67" s="2"/>
      <c r="K67" s="2"/>
      <c r="L67" s="289"/>
      <c r="M67" s="289"/>
      <c r="N67" s="16"/>
      <c r="O67" s="135"/>
      <c r="P67" s="321"/>
      <c r="Q67" s="37"/>
      <c r="R67" s="37"/>
      <c r="S67" s="37"/>
      <c r="T67" s="16"/>
      <c r="U67" s="2"/>
      <c r="V67" s="2"/>
    </row>
    <row r="68" spans="1:27" ht="15" thickBot="1" x14ac:dyDescent="0.35">
      <c r="A68" s="1043" t="s">
        <v>89</v>
      </c>
      <c r="B68" s="1044"/>
      <c r="C68" s="1044"/>
      <c r="D68" s="532">
        <v>0.8</v>
      </c>
      <c r="E68" s="138"/>
      <c r="F68" s="139"/>
      <c r="G68" s="140"/>
      <c r="H68" s="139"/>
      <c r="I68" s="66"/>
      <c r="J68" s="2"/>
      <c r="K68" s="2"/>
      <c r="L68" s="289"/>
      <c r="M68" s="289"/>
      <c r="N68" s="1051"/>
      <c r="O68" s="1051"/>
      <c r="P68" s="16"/>
      <c r="Q68" s="16"/>
      <c r="R68" s="16"/>
      <c r="S68" s="16"/>
      <c r="Z68" s="16"/>
      <c r="AA68" s="16"/>
    </row>
    <row r="69" spans="1:27" ht="15" thickBot="1" x14ac:dyDescent="0.35">
      <c r="A69" s="1021" t="s">
        <v>335</v>
      </c>
      <c r="B69" s="1022"/>
      <c r="C69" s="1022"/>
      <c r="D69" s="435">
        <v>0.85</v>
      </c>
      <c r="E69" s="138"/>
      <c r="F69" s="139"/>
      <c r="G69" s="140"/>
      <c r="H69" s="139"/>
      <c r="I69" s="66"/>
      <c r="J69" s="2"/>
      <c r="K69" s="2"/>
      <c r="L69" s="289"/>
      <c r="M69" s="289"/>
      <c r="N69" s="400"/>
      <c r="O69" s="400"/>
      <c r="P69" s="16"/>
      <c r="Q69" s="16"/>
      <c r="R69" s="16"/>
      <c r="S69" s="16"/>
      <c r="Z69" s="16"/>
      <c r="AA69" s="16"/>
    </row>
    <row r="70" spans="1:27" ht="15" thickBot="1" x14ac:dyDescent="0.35">
      <c r="A70" s="397"/>
      <c r="B70" s="398"/>
      <c r="C70" s="398"/>
      <c r="D70" s="305"/>
      <c r="E70" s="138"/>
      <c r="F70" s="139"/>
      <c r="G70" s="140"/>
      <c r="H70" s="139"/>
      <c r="I70" s="66"/>
      <c r="J70" s="2"/>
      <c r="K70" s="2"/>
      <c r="L70" s="289"/>
      <c r="M70" s="289"/>
      <c r="N70" s="400"/>
      <c r="O70" s="400"/>
      <c r="P70" s="16"/>
      <c r="Q70" s="16"/>
      <c r="R70" s="16"/>
      <c r="S70" s="16"/>
      <c r="Z70" s="16"/>
      <c r="AA70" s="16"/>
    </row>
    <row r="71" spans="1:27" ht="15" thickBot="1" x14ac:dyDescent="0.35">
      <c r="A71" s="1041" t="s">
        <v>164</v>
      </c>
      <c r="B71" s="1042"/>
      <c r="C71" s="1042"/>
      <c r="D71" s="314">
        <v>0.05</v>
      </c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</row>
    <row r="73" spans="1:27" x14ac:dyDescent="0.3">
      <c r="A73" s="905" t="s">
        <v>52</v>
      </c>
      <c r="B73" s="905"/>
      <c r="C73" s="905"/>
      <c r="D73" s="905"/>
      <c r="E73" s="905"/>
      <c r="F73" s="905"/>
      <c r="G73" s="905"/>
      <c r="H73" s="905"/>
      <c r="I73" s="905"/>
      <c r="J73" s="905"/>
      <c r="K73" s="905"/>
      <c r="L73" s="905"/>
      <c r="M73" s="905"/>
      <c r="N73" s="905"/>
      <c r="O73" s="905"/>
      <c r="P73" s="905"/>
      <c r="Q73" s="905"/>
      <c r="R73" s="905"/>
      <c r="S73" s="905"/>
      <c r="T73" s="905"/>
      <c r="U73" s="211"/>
    </row>
    <row r="74" spans="1:27" x14ac:dyDescent="0.3">
      <c r="A74" s="17" t="s">
        <v>168</v>
      </c>
      <c r="J74" s="17" t="s">
        <v>167</v>
      </c>
    </row>
    <row r="83" spans="1:2" x14ac:dyDescent="0.3">
      <c r="A83" s="286" t="s">
        <v>169</v>
      </c>
      <c r="B83" s="286" t="s">
        <v>56</v>
      </c>
    </row>
    <row r="84" spans="1:2" x14ac:dyDescent="0.3">
      <c r="A84" s="287">
        <v>10</v>
      </c>
      <c r="B84" s="288">
        <v>1.7999999999999999E-2</v>
      </c>
    </row>
    <row r="85" spans="1:2" x14ac:dyDescent="0.3">
      <c r="A85" s="287">
        <v>15</v>
      </c>
      <c r="B85" s="288">
        <v>2.1999999999999999E-2</v>
      </c>
    </row>
    <row r="86" spans="1:2" x14ac:dyDescent="0.3">
      <c r="A86" s="287">
        <v>20</v>
      </c>
      <c r="B86" s="288">
        <v>2.7E-2</v>
      </c>
    </row>
    <row r="87" spans="1:2" x14ac:dyDescent="0.3">
      <c r="A87" s="287">
        <v>25</v>
      </c>
      <c r="B87" s="288">
        <v>3.4000000000000002E-2</v>
      </c>
    </row>
    <row r="88" spans="1:2" x14ac:dyDescent="0.3">
      <c r="A88" s="287">
        <v>32</v>
      </c>
      <c r="B88" s="288">
        <v>4.2999999999999997E-2</v>
      </c>
    </row>
    <row r="89" spans="1:2" x14ac:dyDescent="0.3">
      <c r="A89" s="287">
        <v>40</v>
      </c>
      <c r="B89" s="288">
        <v>4.9000000000000002E-2</v>
      </c>
    </row>
    <row r="90" spans="1:2" x14ac:dyDescent="0.3">
      <c r="A90" s="287">
        <v>50</v>
      </c>
      <c r="B90" s="288">
        <v>6.0999999999999999E-2</v>
      </c>
    </row>
    <row r="91" spans="1:2" x14ac:dyDescent="0.3">
      <c r="A91" s="287">
        <v>60</v>
      </c>
      <c r="B91" s="288">
        <v>7.1999999999999995E-2</v>
      </c>
    </row>
    <row r="92" spans="1:2" x14ac:dyDescent="0.3">
      <c r="A92" s="287">
        <v>65</v>
      </c>
      <c r="B92" s="288">
        <v>7.6999999999999999E-2</v>
      </c>
    </row>
    <row r="93" spans="1:2" x14ac:dyDescent="0.3">
      <c r="A93" s="287">
        <v>80</v>
      </c>
      <c r="B93" s="288">
        <v>8.8999999999999996E-2</v>
      </c>
    </row>
    <row r="94" spans="1:2" x14ac:dyDescent="0.3">
      <c r="A94" s="287">
        <v>100</v>
      </c>
      <c r="B94" s="288">
        <v>0.115</v>
      </c>
    </row>
    <row r="95" spans="1:2" x14ac:dyDescent="0.3">
      <c r="A95" s="287">
        <v>125</v>
      </c>
      <c r="B95" s="288">
        <v>0.14099999999999999</v>
      </c>
    </row>
    <row r="96" spans="1:2" x14ac:dyDescent="0.3">
      <c r="A96" s="287">
        <v>150</v>
      </c>
      <c r="B96" s="288">
        <v>0.16900000000000001</v>
      </c>
    </row>
    <row r="97" spans="1:2" x14ac:dyDescent="0.3">
      <c r="A97" s="287">
        <v>200</v>
      </c>
      <c r="B97" s="288">
        <v>0.22</v>
      </c>
    </row>
    <row r="98" spans="1:2" x14ac:dyDescent="0.3">
      <c r="A98" s="287">
        <v>250</v>
      </c>
      <c r="B98" s="288">
        <v>0.27300000000000002</v>
      </c>
    </row>
    <row r="99" spans="1:2" x14ac:dyDescent="0.3">
      <c r="A99" s="287">
        <v>300</v>
      </c>
      <c r="B99" s="288">
        <v>0.32400000000000001</v>
      </c>
    </row>
    <row r="100" spans="1:2" x14ac:dyDescent="0.3">
      <c r="A100" s="287">
        <v>350</v>
      </c>
      <c r="B100" s="288">
        <v>0.35599999999999998</v>
      </c>
    </row>
    <row r="101" spans="1:2" x14ac:dyDescent="0.3">
      <c r="A101" s="287">
        <v>400</v>
      </c>
      <c r="B101" s="288">
        <v>0.40699999999999997</v>
      </c>
    </row>
    <row r="102" spans="1:2" x14ac:dyDescent="0.3">
      <c r="A102" s="287">
        <v>450</v>
      </c>
      <c r="B102" s="288">
        <v>0.45800000000000002</v>
      </c>
    </row>
    <row r="103" spans="1:2" x14ac:dyDescent="0.3">
      <c r="A103" s="287">
        <v>500</v>
      </c>
      <c r="B103" s="288">
        <v>0.50800000000000001</v>
      </c>
    </row>
    <row r="104" spans="1:2" x14ac:dyDescent="0.3">
      <c r="A104" s="287">
        <v>600</v>
      </c>
      <c r="B104" s="288">
        <v>0.61</v>
      </c>
    </row>
    <row r="105" spans="1:2" x14ac:dyDescent="0.3">
      <c r="A105" s="287">
        <v>700</v>
      </c>
      <c r="B105" s="288">
        <v>0.71199999999999997</v>
      </c>
    </row>
    <row r="106" spans="1:2" x14ac:dyDescent="0.3">
      <c r="A106" s="287">
        <v>800</v>
      </c>
      <c r="B106" s="288">
        <v>0.81299999999999994</v>
      </c>
    </row>
    <row r="107" spans="1:2" x14ac:dyDescent="0.3">
      <c r="A107" s="287">
        <v>900</v>
      </c>
      <c r="B107" s="288">
        <v>0.91500000000000004</v>
      </c>
    </row>
    <row r="108" spans="1:2" x14ac:dyDescent="0.3">
      <c r="A108" s="287">
        <v>1000</v>
      </c>
      <c r="B108" s="288">
        <v>1.016</v>
      </c>
    </row>
    <row r="109" spans="1:2" x14ac:dyDescent="0.3">
      <c r="A109" s="287">
        <v>1100</v>
      </c>
      <c r="B109" s="288">
        <v>1.1200000000000001</v>
      </c>
    </row>
    <row r="110" spans="1:2" x14ac:dyDescent="0.3">
      <c r="A110" s="287">
        <v>1200</v>
      </c>
      <c r="B110" s="288">
        <v>1.22</v>
      </c>
    </row>
    <row r="111" spans="1:2" x14ac:dyDescent="0.3">
      <c r="A111" s="287">
        <v>1400</v>
      </c>
      <c r="B111" s="288">
        <v>1.42</v>
      </c>
    </row>
    <row r="112" spans="1:2" x14ac:dyDescent="0.3">
      <c r="A112" s="287">
        <v>1500</v>
      </c>
      <c r="B112" s="288">
        <v>1.52</v>
      </c>
    </row>
    <row r="113" spans="1:22" x14ac:dyDescent="0.3">
      <c r="A113" s="287">
        <v>1600</v>
      </c>
      <c r="B113" s="288">
        <v>1.62</v>
      </c>
    </row>
    <row r="114" spans="1:22" x14ac:dyDescent="0.3">
      <c r="A114" s="287">
        <v>1800</v>
      </c>
      <c r="B114" s="288">
        <v>1.82</v>
      </c>
    </row>
    <row r="115" spans="1:22" x14ac:dyDescent="0.3">
      <c r="A115" s="287">
        <v>2000</v>
      </c>
      <c r="B115" s="288">
        <v>2.02</v>
      </c>
    </row>
    <row r="116" spans="1:22" x14ac:dyDescent="0.3">
      <c r="A116" s="287">
        <v>2000</v>
      </c>
      <c r="B116" s="288">
        <v>2.02</v>
      </c>
    </row>
    <row r="117" spans="1:22" x14ac:dyDescent="0.3">
      <c r="A117" s="287">
        <v>2200</v>
      </c>
      <c r="B117" s="288">
        <v>2.2200000000000002</v>
      </c>
    </row>
    <row r="118" spans="1:22" x14ac:dyDescent="0.3">
      <c r="A118" s="287">
        <v>2400</v>
      </c>
      <c r="B118" s="288">
        <v>2.42</v>
      </c>
    </row>
    <row r="119" spans="1:22" x14ac:dyDescent="0.3">
      <c r="A119" s="287">
        <v>2600</v>
      </c>
      <c r="B119" s="288">
        <v>2.62</v>
      </c>
    </row>
    <row r="120" spans="1:22" x14ac:dyDescent="0.3">
      <c r="A120" s="287">
        <v>2800</v>
      </c>
      <c r="B120" s="288">
        <v>2.82</v>
      </c>
    </row>
    <row r="121" spans="1:22" x14ac:dyDescent="0.3">
      <c r="A121" s="287">
        <v>3000</v>
      </c>
      <c r="B121" s="288">
        <v>3.02</v>
      </c>
    </row>
    <row r="122" spans="1:22" x14ac:dyDescent="0.3">
      <c r="A122" s="287">
        <v>3200</v>
      </c>
      <c r="B122" s="288">
        <v>3.22</v>
      </c>
    </row>
    <row r="123" spans="1:22" x14ac:dyDescent="0.3">
      <c r="A123" s="287">
        <v>3400</v>
      </c>
      <c r="B123" s="288">
        <v>3.42</v>
      </c>
    </row>
    <row r="127" spans="1:22" ht="51.6" thickBot="1" x14ac:dyDescent="0.35">
      <c r="A127" s="893" t="s">
        <v>5</v>
      </c>
      <c r="B127" s="894"/>
      <c r="C127" s="577" t="s">
        <v>169</v>
      </c>
      <c r="D127" s="577" t="s">
        <v>112</v>
      </c>
      <c r="E127" s="577" t="s">
        <v>113</v>
      </c>
      <c r="F127" s="88" t="s">
        <v>43</v>
      </c>
      <c r="G127" s="88" t="s">
        <v>30</v>
      </c>
      <c r="H127" s="88" t="s">
        <v>31</v>
      </c>
      <c r="I127" s="90" t="s">
        <v>88</v>
      </c>
      <c r="J127" s="88" t="s">
        <v>69</v>
      </c>
      <c r="K127" s="88" t="s">
        <v>68</v>
      </c>
      <c r="L127" s="89" t="s">
        <v>14</v>
      </c>
      <c r="M127" s="118" t="s">
        <v>116</v>
      </c>
      <c r="N127" s="89" t="s">
        <v>163</v>
      </c>
      <c r="O127" s="89" t="s">
        <v>115</v>
      </c>
      <c r="P127" s="89" t="s">
        <v>27</v>
      </c>
      <c r="Q127" s="119" t="s">
        <v>117</v>
      </c>
      <c r="R127" s="84" t="s">
        <v>150</v>
      </c>
      <c r="S127" s="86" t="s">
        <v>94</v>
      </c>
      <c r="T127" s="86" t="s">
        <v>95</v>
      </c>
      <c r="U127" s="86"/>
      <c r="V127" s="86"/>
    </row>
    <row r="128" spans="1:22" ht="15" thickBot="1" x14ac:dyDescent="0.35">
      <c r="A128" s="1047"/>
      <c r="B128" s="1048"/>
      <c r="C128" s="573"/>
      <c r="D128" s="234"/>
      <c r="E128" s="573"/>
      <c r="F128" s="573"/>
      <c r="G128" s="232"/>
      <c r="H128" s="232"/>
      <c r="I128" s="236"/>
      <c r="J128" s="232"/>
      <c r="K128" s="236"/>
      <c r="L128" s="593">
        <v>1</v>
      </c>
      <c r="M128" s="594">
        <v>32</v>
      </c>
      <c r="N128" s="593">
        <v>33</v>
      </c>
      <c r="O128" s="593">
        <v>34</v>
      </c>
      <c r="P128" s="593">
        <f>IF(M128&lt;10,N128+L128,O128+L128)</f>
        <v>35</v>
      </c>
      <c r="Q128" s="593">
        <v>42</v>
      </c>
      <c r="R128" s="593">
        <v>43</v>
      </c>
      <c r="S128" s="596">
        <v>44</v>
      </c>
      <c r="T128" s="596">
        <v>6</v>
      </c>
      <c r="U128" s="67"/>
      <c r="V128" s="67"/>
    </row>
    <row r="129" spans="1:22" ht="15" thickBot="1" x14ac:dyDescent="0.35">
      <c r="A129" s="1047" t="s">
        <v>323</v>
      </c>
      <c r="B129" s="1048"/>
      <c r="C129" s="573"/>
      <c r="D129" s="234"/>
      <c r="E129" s="573"/>
      <c r="F129" s="573"/>
      <c r="G129" s="433" t="s">
        <v>419</v>
      </c>
      <c r="H129" s="433" t="s">
        <v>419</v>
      </c>
      <c r="I129" s="236"/>
      <c r="J129" s="232"/>
      <c r="K129" s="236"/>
      <c r="L129" s="593">
        <v>1</v>
      </c>
      <c r="M129" s="594">
        <v>32</v>
      </c>
      <c r="N129" s="593">
        <v>33</v>
      </c>
      <c r="O129" s="593">
        <v>34</v>
      </c>
      <c r="P129" s="593">
        <f>IF(M129&lt;10,N129+L129,O129+L129)</f>
        <v>35</v>
      </c>
      <c r="Q129" s="593">
        <v>42</v>
      </c>
      <c r="R129" s="593">
        <v>43</v>
      </c>
      <c r="S129" s="596">
        <v>44</v>
      </c>
      <c r="T129" s="596">
        <v>6</v>
      </c>
      <c r="U129" s="85"/>
      <c r="V129" s="85"/>
    </row>
    <row r="130" spans="1:22" ht="18" x14ac:dyDescent="0.3">
      <c r="A130" s="1047" t="s">
        <v>324</v>
      </c>
      <c r="B130" s="1048"/>
      <c r="C130" s="573"/>
      <c r="D130" s="234"/>
      <c r="E130" s="573"/>
      <c r="F130" s="573"/>
      <c r="G130" s="573"/>
      <c r="H130" s="573"/>
      <c r="I130" s="236"/>
      <c r="J130" s="232"/>
      <c r="K130" s="236"/>
      <c r="L130" s="593">
        <v>1</v>
      </c>
      <c r="M130" s="594">
        <v>32</v>
      </c>
      <c r="N130" s="593">
        <v>33</v>
      </c>
      <c r="O130" s="593">
        <v>34</v>
      </c>
      <c r="P130" s="593">
        <f>IF(M130&lt;10,N130+L130,O130+L130)</f>
        <v>35</v>
      </c>
      <c r="Q130" s="593">
        <v>42</v>
      </c>
      <c r="R130" s="433" t="s">
        <v>419</v>
      </c>
      <c r="S130" s="596">
        <v>44</v>
      </c>
      <c r="T130" s="596">
        <v>6</v>
      </c>
      <c r="U130" s="194" t="s">
        <v>71</v>
      </c>
      <c r="V130" s="195" t="s">
        <v>24</v>
      </c>
    </row>
    <row r="131" spans="1:22" x14ac:dyDescent="0.3">
      <c r="A131" s="62"/>
      <c r="B131" s="62"/>
      <c r="C131" s="62"/>
      <c r="D131" s="62"/>
      <c r="E131" s="190"/>
      <c r="F131" s="190"/>
      <c r="G131" s="63"/>
      <c r="H131" s="63"/>
      <c r="I131" s="63"/>
      <c r="J131" s="64"/>
      <c r="K131" s="65"/>
      <c r="L131" s="65"/>
      <c r="M131" s="64"/>
      <c r="N131" s="216"/>
      <c r="O131" s="217"/>
      <c r="P131" s="217"/>
      <c r="Q131" s="218"/>
      <c r="R131" s="219"/>
      <c r="S131" s="570"/>
      <c r="T131" s="570"/>
      <c r="U131" s="590">
        <v>26</v>
      </c>
      <c r="V131" s="590">
        <v>28</v>
      </c>
    </row>
    <row r="132" spans="1:22" ht="15" thickBot="1" x14ac:dyDescent="0.35">
      <c r="A132" s="62"/>
      <c r="B132" s="62"/>
      <c r="C132" s="63"/>
      <c r="D132" s="63"/>
      <c r="E132" s="191"/>
      <c r="F132" s="65"/>
      <c r="G132" s="63"/>
      <c r="H132" s="63"/>
      <c r="I132" s="63"/>
      <c r="J132" s="64"/>
      <c r="K132" s="65"/>
      <c r="L132" s="64"/>
      <c r="M132" s="66"/>
      <c r="N132" s="129"/>
      <c r="O132" s="129"/>
      <c r="P132" s="135"/>
      <c r="Q132" s="135"/>
      <c r="R132" s="570"/>
      <c r="S132" s="570"/>
      <c r="T132" s="570"/>
      <c r="U132" s="590">
        <v>27</v>
      </c>
      <c r="V132" s="590">
        <v>29</v>
      </c>
    </row>
    <row r="133" spans="1:22" x14ac:dyDescent="0.3">
      <c r="A133" s="62"/>
      <c r="B133" s="62"/>
      <c r="C133" s="62"/>
      <c r="D133" s="63"/>
      <c r="E133" s="64"/>
      <c r="F133" s="64"/>
      <c r="G133" s="63"/>
      <c r="H133" s="63"/>
      <c r="I133" s="63"/>
      <c r="J133" s="64"/>
      <c r="K133" s="65"/>
      <c r="L133" s="64"/>
      <c r="M133" s="998">
        <v>49</v>
      </c>
      <c r="N133" s="999"/>
      <c r="O133" s="999"/>
      <c r="P133" s="999"/>
      <c r="Q133" s="999"/>
      <c r="R133" s="1000"/>
      <c r="S133" s="570"/>
      <c r="T133" s="570"/>
      <c r="U133" s="570"/>
    </row>
    <row r="134" spans="1:22" x14ac:dyDescent="0.3">
      <c r="A134" s="62"/>
      <c r="B134" s="62"/>
      <c r="C134" s="62"/>
      <c r="D134" s="63"/>
      <c r="E134" s="66"/>
      <c r="G134" s="63"/>
      <c r="H134" s="63"/>
      <c r="I134" s="63"/>
      <c r="J134" s="64"/>
      <c r="K134" s="65"/>
      <c r="L134" s="64"/>
      <c r="M134" s="1001"/>
      <c r="N134" s="1002"/>
      <c r="O134" s="1002"/>
      <c r="P134" s="1002"/>
      <c r="Q134" s="1002"/>
      <c r="R134" s="1003"/>
      <c r="S134" s="570"/>
      <c r="T134" s="570"/>
      <c r="U134" s="570"/>
    </row>
    <row r="135" spans="1:22" ht="15" thickBot="1" x14ac:dyDescent="0.35">
      <c r="A135" s="62"/>
      <c r="B135" s="62"/>
      <c r="C135" s="62"/>
      <c r="D135" s="63"/>
      <c r="E135" s="64"/>
      <c r="F135" s="64"/>
      <c r="G135" s="63"/>
      <c r="H135" s="63"/>
      <c r="I135" s="63"/>
      <c r="J135" s="64"/>
      <c r="K135" s="65"/>
      <c r="L135" s="64"/>
      <c r="M135" s="1004"/>
      <c r="N135" s="1005"/>
      <c r="O135" s="1005"/>
      <c r="P135" s="1005"/>
      <c r="Q135" s="1005"/>
      <c r="R135" s="1006"/>
      <c r="S135" s="570"/>
      <c r="T135" s="570"/>
      <c r="U135" s="570"/>
    </row>
    <row r="136" spans="1:22" x14ac:dyDescent="0.3">
      <c r="A136" s="62"/>
      <c r="B136" s="62"/>
      <c r="C136" s="62"/>
      <c r="D136" s="63"/>
      <c r="E136" s="64"/>
      <c r="F136" s="64"/>
      <c r="G136" s="63"/>
      <c r="H136" s="63"/>
      <c r="I136" s="63"/>
      <c r="J136" s="64"/>
      <c r="K136" s="65"/>
      <c r="L136" s="64"/>
      <c r="M136" s="66"/>
      <c r="N136" s="129"/>
      <c r="O136" s="129"/>
      <c r="P136" s="135"/>
      <c r="Q136" s="135"/>
      <c r="R136" s="570"/>
      <c r="S136" s="570"/>
      <c r="T136" s="570"/>
      <c r="U136" s="570"/>
    </row>
  </sheetData>
  <mergeCells count="63">
    <mergeCell ref="A127:B127"/>
    <mergeCell ref="A128:B128"/>
    <mergeCell ref="A129:B129"/>
    <mergeCell ref="A130:B130"/>
    <mergeCell ref="M133:R135"/>
    <mergeCell ref="P8:P9"/>
    <mergeCell ref="C13:C14"/>
    <mergeCell ref="D13:E14"/>
    <mergeCell ref="F13:F14"/>
    <mergeCell ref="G13:H14"/>
    <mergeCell ref="I13:J14"/>
    <mergeCell ref="K13:K14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O18:O19"/>
    <mergeCell ref="P18:P19"/>
    <mergeCell ref="O20:O21"/>
    <mergeCell ref="P20:P21"/>
    <mergeCell ref="C25:E26"/>
    <mergeCell ref="F25:G26"/>
    <mergeCell ref="H25:H26"/>
    <mergeCell ref="M25:P27"/>
    <mergeCell ref="A44:B44"/>
    <mergeCell ref="U43:V43"/>
    <mergeCell ref="A46:B46"/>
    <mergeCell ref="W50:X50"/>
    <mergeCell ref="A68:C68"/>
    <mergeCell ref="N68:O68"/>
    <mergeCell ref="O63:Q63"/>
    <mergeCell ref="O64:Q64"/>
    <mergeCell ref="O61:T61"/>
    <mergeCell ref="O62:Q62"/>
    <mergeCell ref="A56:C56"/>
    <mergeCell ref="M50:R52"/>
    <mergeCell ref="A45:B45"/>
    <mergeCell ref="A54:T54"/>
    <mergeCell ref="A55:C55"/>
    <mergeCell ref="S43:T43"/>
    <mergeCell ref="A47:B47"/>
    <mergeCell ref="A73:T73"/>
    <mergeCell ref="A71:C71"/>
    <mergeCell ref="A67:C67"/>
    <mergeCell ref="A65:C65"/>
    <mergeCell ref="O65:Q65"/>
    <mergeCell ref="A66:C66"/>
    <mergeCell ref="O66:Q66"/>
    <mergeCell ref="A69:C69"/>
  </mergeCells>
  <conditionalFormatting sqref="F25:G26">
    <cfRule type="cellIs" dxfId="4" priority="1" operator="greaterThan">
      <formula>55</formula>
    </cfRule>
  </conditionalFormatting>
  <dataValidations count="1">
    <dataValidation type="list" allowBlank="1" showInputMessage="1" showErrorMessage="1" promptTitle="Select a value " sqref="F17" xr:uid="{39728561-038A-442F-98F6-72AF9D65E49D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EA2676C-D892-45BE-9D8E-B8847BAC12AE}">
          <x14:formula1>
            <xm:f>'Default values '!$C$2:$C$10</xm:f>
          </x14:formula1>
          <xm:sqref>N5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49DC6-8FB2-407B-B5D9-3C0058FF1F57}">
  <dimension ref="A1:Z106"/>
  <sheetViews>
    <sheetView topLeftCell="A40" workbookViewId="0">
      <selection activeCell="R58" sqref="R58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0" width="12" style="16" bestFit="1" customWidth="1"/>
    <col min="21" max="26" width="8.88671875" style="16"/>
    <col min="27" max="16384" width="8.88671875" style="17"/>
  </cols>
  <sheetData>
    <row r="1" spans="1:26" ht="15" customHeight="1" x14ac:dyDescent="0.3">
      <c r="A1" s="327"/>
      <c r="B1" s="327"/>
      <c r="C1" s="327"/>
      <c r="D1" s="327"/>
      <c r="E1" s="327"/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</row>
    <row r="2" spans="1:26" ht="15" customHeight="1" x14ac:dyDescent="0.3">
      <c r="A2" s="327"/>
      <c r="B2" s="15"/>
      <c r="C2" s="15"/>
      <c r="D2" s="15"/>
      <c r="E2" s="15"/>
      <c r="F2" s="15"/>
      <c r="G2" s="327"/>
      <c r="H2" s="327"/>
      <c r="I2" s="327"/>
      <c r="J2" s="327"/>
      <c r="K2" s="327"/>
      <c r="L2" s="327"/>
      <c r="M2" s="327"/>
      <c r="N2" s="327"/>
      <c r="O2" s="327"/>
      <c r="P2" s="327"/>
      <c r="Q2" s="327"/>
      <c r="R2" s="327"/>
      <c r="S2" s="327"/>
    </row>
    <row r="3" spans="1:26" ht="7.8" customHeight="1" x14ac:dyDescent="0.3">
      <c r="A3" s="32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7"/>
    </row>
    <row r="4" spans="1:26" ht="5.4" customHeight="1" x14ac:dyDescent="0.3">
      <c r="A4" s="327"/>
      <c r="B4" s="327"/>
      <c r="C4" s="327"/>
      <c r="D4" s="327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  <c r="Q4" s="327"/>
      <c r="R4" s="327"/>
      <c r="S4" s="327"/>
      <c r="T4" s="24"/>
    </row>
    <row r="5" spans="1:26" s="23" customFormat="1" ht="15" customHeight="1" x14ac:dyDescent="0.3">
      <c r="A5" s="26"/>
      <c r="B5" s="28"/>
      <c r="C5" s="864" t="s">
        <v>16</v>
      </c>
      <c r="D5" s="864"/>
      <c r="E5" s="864"/>
      <c r="F5" s="32" t="s">
        <v>40</v>
      </c>
      <c r="G5" s="284" t="s">
        <v>108</v>
      </c>
      <c r="H5" s="284"/>
      <c r="I5" s="284"/>
      <c r="J5" s="284"/>
      <c r="K5" s="866" t="s">
        <v>15</v>
      </c>
      <c r="L5" s="866"/>
      <c r="M5" s="866"/>
      <c r="N5" s="908" t="s">
        <v>22</v>
      </c>
      <c r="O5" s="908"/>
      <c r="P5" s="32">
        <f>VLOOKUP(N5,'Default values '!C2:D10,2,TRUE)</f>
        <v>6000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327"/>
      <c r="B6" s="14"/>
      <c r="C6" s="864"/>
      <c r="D6" s="864"/>
      <c r="E6" s="864"/>
      <c r="F6" s="32"/>
      <c r="G6" s="285"/>
      <c r="H6" s="285"/>
      <c r="I6" s="285"/>
      <c r="J6" s="285"/>
      <c r="K6" s="866"/>
      <c r="L6" s="866"/>
      <c r="M6" s="866"/>
      <c r="N6" s="908"/>
      <c r="O6" s="908"/>
      <c r="P6" s="14"/>
      <c r="Q6" s="14"/>
      <c r="R6" s="14"/>
      <c r="S6" s="14"/>
    </row>
    <row r="7" spans="1:26" ht="15" customHeight="1" x14ac:dyDescent="0.35">
      <c r="A7" s="327"/>
      <c r="B7" s="14"/>
      <c r="C7" s="328"/>
      <c r="D7" s="328"/>
      <c r="E7" s="328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327"/>
      <c r="B8" s="14"/>
      <c r="C8" s="328"/>
      <c r="D8" s="328"/>
      <c r="E8" s="328"/>
      <c r="F8" s="47"/>
      <c r="G8" s="285"/>
      <c r="H8" s="285"/>
      <c r="I8" s="285"/>
      <c r="J8" s="285"/>
      <c r="K8" s="866" t="s">
        <v>42</v>
      </c>
      <c r="L8" s="866"/>
      <c r="M8" s="866"/>
      <c r="N8" s="898">
        <v>600</v>
      </c>
      <c r="O8" s="898"/>
      <c r="P8" s="869" t="s">
        <v>23</v>
      </c>
      <c r="Q8" s="14"/>
      <c r="R8" s="14"/>
      <c r="S8" s="14"/>
    </row>
    <row r="9" spans="1:26" s="23" customFormat="1" ht="15" customHeight="1" x14ac:dyDescent="0.35">
      <c r="A9" s="327"/>
      <c r="B9" s="14"/>
      <c r="C9" s="328"/>
      <c r="D9" s="328"/>
      <c r="E9" s="328"/>
      <c r="F9" s="47"/>
      <c r="G9" s="285"/>
      <c r="H9" s="285"/>
      <c r="I9" s="285"/>
      <c r="J9" s="285"/>
      <c r="K9" s="866"/>
      <c r="L9" s="866"/>
      <c r="M9" s="866"/>
      <c r="N9" s="898"/>
      <c r="O9" s="898"/>
      <c r="P9" s="869"/>
      <c r="Q9" s="26"/>
      <c r="R9" s="26"/>
      <c r="S9" s="26"/>
      <c r="T9" s="22"/>
      <c r="U9" s="22"/>
      <c r="V9" s="16"/>
      <c r="W9" s="22"/>
      <c r="X9" s="22"/>
      <c r="Y9" s="22"/>
      <c r="Z9" s="22"/>
    </row>
    <row r="10" spans="1:26" ht="15" customHeight="1" x14ac:dyDescent="0.35">
      <c r="A10" s="327"/>
      <c r="B10" s="14"/>
      <c r="C10" s="328"/>
      <c r="D10" s="328"/>
      <c r="E10" s="328"/>
      <c r="F10" s="47"/>
      <c r="G10" s="47"/>
      <c r="H10" s="4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</row>
    <row r="11" spans="1:26" ht="15" customHeight="1" thickBot="1" x14ac:dyDescent="0.4">
      <c r="A11" s="327"/>
      <c r="B11" s="14"/>
      <c r="C11" s="14"/>
      <c r="D11" s="14"/>
      <c r="E11" s="14"/>
      <c r="F11" s="14"/>
      <c r="G11" s="14"/>
      <c r="H11" s="14"/>
      <c r="I11" s="327"/>
      <c r="J11" s="327"/>
      <c r="K11" s="327"/>
      <c r="L11" s="327"/>
      <c r="M11" s="327"/>
      <c r="N11" s="327"/>
      <c r="O11" s="327"/>
      <c r="P11" s="327"/>
      <c r="Q11" s="327"/>
      <c r="R11" s="327"/>
      <c r="S11" s="327"/>
    </row>
    <row r="12" spans="1:26" ht="15" customHeight="1" thickTop="1" x14ac:dyDescent="0.35">
      <c r="A12" s="327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7"/>
      <c r="M12" s="15"/>
      <c r="N12" s="15"/>
      <c r="O12" s="15"/>
      <c r="P12" s="15"/>
      <c r="Q12" s="15"/>
      <c r="R12" s="15"/>
      <c r="S12" s="327"/>
    </row>
    <row r="13" spans="1:26" s="23" customFormat="1" ht="15" customHeight="1" x14ac:dyDescent="0.3">
      <c r="A13" s="26"/>
      <c r="B13" s="31"/>
      <c r="C13" s="869"/>
      <c r="D13" s="869"/>
      <c r="E13" s="869"/>
      <c r="F13" s="1056">
        <v>1</v>
      </c>
      <c r="G13" s="1056"/>
      <c r="H13" s="869"/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327"/>
      <c r="B14" s="8"/>
      <c r="C14" s="869"/>
      <c r="D14" s="869"/>
      <c r="E14" s="869"/>
      <c r="F14" s="1056"/>
      <c r="G14" s="1056"/>
      <c r="H14" s="869"/>
      <c r="I14" s="15"/>
      <c r="J14" s="26"/>
      <c r="K14" s="51"/>
      <c r="L14" s="26"/>
      <c r="M14" s="899" t="str">
        <f>IF(O14="","","Heat loss")</f>
        <v>Heat loss</v>
      </c>
      <c r="N14" s="899"/>
      <c r="O14" s="1012">
        <f>IF(F25=0,"",N45)</f>
        <v>1772.9872481185853</v>
      </c>
      <c r="P14" s="1012"/>
      <c r="Q14" s="1013" t="str">
        <f>IF(O14="","","kWh/m²/a")</f>
        <v>kWh/m²/a</v>
      </c>
      <c r="R14" s="1013"/>
      <c r="S14" s="327"/>
    </row>
    <row r="15" spans="1:26" ht="15" customHeight="1" x14ac:dyDescent="0.3">
      <c r="A15" s="327"/>
      <c r="B15" s="8"/>
      <c r="C15" s="327"/>
      <c r="D15" s="327"/>
      <c r="E15" s="327"/>
      <c r="F15" s="33"/>
      <c r="G15" s="33"/>
      <c r="H15" s="327"/>
      <c r="I15" s="15"/>
      <c r="J15" s="15"/>
      <c r="K15" s="45"/>
      <c r="L15" s="15"/>
      <c r="M15" s="899"/>
      <c r="N15" s="899"/>
      <c r="O15" s="1012"/>
      <c r="P15" s="1012"/>
      <c r="Q15" s="1013"/>
      <c r="R15" s="1013"/>
      <c r="S15" s="327"/>
    </row>
    <row r="16" spans="1:26" ht="15" customHeight="1" x14ac:dyDescent="0.3">
      <c r="A16" s="327"/>
      <c r="B16" s="8"/>
      <c r="C16" s="327"/>
      <c r="D16" s="327"/>
      <c r="E16" s="327"/>
      <c r="F16" s="33"/>
      <c r="G16" s="33"/>
      <c r="H16" s="327"/>
      <c r="I16" s="27"/>
      <c r="J16" s="27"/>
      <c r="K16" s="45"/>
      <c r="L16" s="27"/>
      <c r="M16" s="899"/>
      <c r="N16" s="899"/>
      <c r="O16" s="1014">
        <f>IF(F25=0,"",O45)</f>
        <v>88.649362405929267</v>
      </c>
      <c r="P16" s="1014"/>
      <c r="Q16" s="1015" t="str">
        <f>IF(F25="","","€/m²/a")</f>
        <v>€/m²/a</v>
      </c>
      <c r="R16" s="1015"/>
      <c r="S16" s="327"/>
    </row>
    <row r="17" spans="1:26" s="23" customFormat="1" ht="15" customHeight="1" x14ac:dyDescent="0.3">
      <c r="A17" s="26"/>
      <c r="B17" s="31"/>
      <c r="C17" s="869" t="s">
        <v>109</v>
      </c>
      <c r="D17" s="869"/>
      <c r="E17" s="869"/>
      <c r="F17" s="908" t="s">
        <v>379</v>
      </c>
      <c r="G17" s="908"/>
      <c r="H17" s="52">
        <f>IF(F17="","",VLOOKUP(F17,'Default values '!A2:B7,2,FALSE))</f>
        <v>0.9</v>
      </c>
      <c r="I17" s="27"/>
      <c r="J17" s="27"/>
      <c r="K17" s="51"/>
      <c r="L17" s="27"/>
      <c r="M17" s="899"/>
      <c r="N17" s="899"/>
      <c r="O17" s="1014"/>
      <c r="P17" s="1014"/>
      <c r="Q17" s="1015"/>
      <c r="R17" s="1015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327"/>
      <c r="B18" s="8"/>
      <c r="C18" s="869"/>
      <c r="D18" s="869"/>
      <c r="E18" s="869"/>
      <c r="F18" s="908"/>
      <c r="G18" s="908"/>
      <c r="H18" s="15"/>
      <c r="I18" s="327"/>
      <c r="J18" s="327"/>
      <c r="K18" s="9"/>
      <c r="L18" s="327"/>
      <c r="M18" s="1016" t="str">
        <f>IF(O14="","","Minimun Saving potential")</f>
        <v>Minimun Saving potential</v>
      </c>
      <c r="N18" s="1016"/>
      <c r="O18" s="1017">
        <f>IF(F25=0,"",P48)</f>
        <v>505.32183223950551</v>
      </c>
      <c r="P18" s="1017"/>
      <c r="Q18" s="961" t="str">
        <f>IF(F25="","","kWh/m²/a")</f>
        <v>kWh/m²/a</v>
      </c>
      <c r="R18" s="961"/>
      <c r="S18" s="327"/>
    </row>
    <row r="19" spans="1:26" ht="15" customHeight="1" x14ac:dyDescent="0.3">
      <c r="A19" s="327"/>
      <c r="B19" s="8"/>
      <c r="C19" s="15"/>
      <c r="D19" s="15"/>
      <c r="E19" s="15"/>
      <c r="F19" s="33"/>
      <c r="G19" s="33"/>
      <c r="H19" s="15"/>
      <c r="I19" s="327"/>
      <c r="J19" s="327"/>
      <c r="K19" s="9"/>
      <c r="L19" s="327"/>
      <c r="M19" s="1016"/>
      <c r="N19" s="1016"/>
      <c r="O19" s="1017"/>
      <c r="P19" s="1017"/>
      <c r="Q19" s="961"/>
      <c r="R19" s="961"/>
      <c r="S19" s="327"/>
    </row>
    <row r="20" spans="1:26" ht="15" customHeight="1" x14ac:dyDescent="0.3">
      <c r="A20" s="327"/>
      <c r="B20" s="8"/>
      <c r="C20" s="327"/>
      <c r="D20" s="327"/>
      <c r="E20" s="327"/>
      <c r="F20" s="33"/>
      <c r="G20" s="33"/>
      <c r="H20" s="327"/>
      <c r="I20" s="327"/>
      <c r="J20" s="327"/>
      <c r="K20" s="9"/>
      <c r="L20" s="327"/>
      <c r="M20" s="1016"/>
      <c r="N20" s="1016"/>
      <c r="O20" s="1011">
        <f>IF(F25=0,"",Q48)</f>
        <v>25.266091611975277</v>
      </c>
      <c r="P20" s="1011"/>
      <c r="Q20" s="962" t="str">
        <f>IF(F25=0,"","€/m²/a")</f>
        <v>€/m²/a</v>
      </c>
      <c r="R20" s="962"/>
      <c r="S20" s="327"/>
    </row>
    <row r="21" spans="1:26" s="23" customFormat="1" ht="15" customHeight="1" x14ac:dyDescent="0.3">
      <c r="A21" s="26"/>
      <c r="B21" s="31"/>
      <c r="C21" s="869" t="s">
        <v>39</v>
      </c>
      <c r="D21" s="869"/>
      <c r="E21" s="869"/>
      <c r="F21" s="898">
        <v>26</v>
      </c>
      <c r="G21" s="898"/>
      <c r="H21" s="869" t="s">
        <v>23</v>
      </c>
      <c r="I21" s="26"/>
      <c r="J21" s="26"/>
      <c r="K21" s="51"/>
      <c r="L21" s="26"/>
      <c r="M21" s="1016"/>
      <c r="N21" s="1016"/>
      <c r="O21" s="1011"/>
      <c r="P21" s="1011"/>
      <c r="Q21" s="962"/>
      <c r="R21" s="962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327"/>
      <c r="B22" s="8"/>
      <c r="C22" s="869"/>
      <c r="D22" s="869"/>
      <c r="E22" s="869"/>
      <c r="F22" s="898"/>
      <c r="G22" s="898"/>
      <c r="H22" s="869"/>
      <c r="I22" s="327"/>
      <c r="J22" s="327"/>
      <c r="K22" s="9"/>
      <c r="L22" s="327"/>
      <c r="M22" s="46"/>
      <c r="N22" s="46"/>
      <c r="O22" s="46"/>
      <c r="P22" s="46"/>
      <c r="Q22" s="46"/>
      <c r="R22" s="46"/>
      <c r="S22" s="327"/>
    </row>
    <row r="23" spans="1:26" ht="15" customHeight="1" x14ac:dyDescent="0.3">
      <c r="A23" s="327"/>
      <c r="B23" s="8"/>
      <c r="C23" s="327"/>
      <c r="D23" s="327"/>
      <c r="E23" s="327"/>
      <c r="F23" s="327"/>
      <c r="G23" s="327"/>
      <c r="H23" s="18"/>
      <c r="I23" s="19"/>
      <c r="J23" s="19"/>
      <c r="K23" s="45"/>
      <c r="L23" s="327"/>
      <c r="M23" s="50"/>
      <c r="N23" s="48"/>
      <c r="O23" s="48"/>
      <c r="P23" s="48"/>
      <c r="Q23" s="48"/>
      <c r="R23" s="48"/>
      <c r="S23" s="327"/>
    </row>
    <row r="24" spans="1:26" ht="15" customHeight="1" x14ac:dyDescent="0.3">
      <c r="A24" s="327"/>
      <c r="B24" s="8"/>
      <c r="C24" s="327"/>
      <c r="D24" s="327"/>
      <c r="E24" s="327"/>
      <c r="F24" s="327"/>
      <c r="G24" s="327"/>
      <c r="H24" s="19"/>
      <c r="I24" s="19"/>
      <c r="J24" s="19"/>
      <c r="K24" s="45"/>
      <c r="L24" s="327"/>
      <c r="M24" s="54"/>
      <c r="N24" s="49"/>
      <c r="O24" s="49"/>
      <c r="P24" s="49"/>
      <c r="Q24" s="48"/>
      <c r="R24" s="48"/>
      <c r="S24" s="327"/>
    </row>
    <row r="25" spans="1:26" ht="15" customHeight="1" x14ac:dyDescent="0.3">
      <c r="A25" s="26"/>
      <c r="B25" s="8"/>
      <c r="C25" s="869" t="s">
        <v>41</v>
      </c>
      <c r="D25" s="869"/>
      <c r="E25" s="869"/>
      <c r="F25" s="898">
        <v>52</v>
      </c>
      <c r="G25" s="898"/>
      <c r="H25" s="869" t="s">
        <v>23</v>
      </c>
      <c r="I25" s="19"/>
      <c r="J25" s="19"/>
      <c r="K25" s="45"/>
      <c r="L25" s="327"/>
      <c r="M25" s="1010" t="str">
        <f>IF(F25="","",K54)</f>
        <v>"Potential savings per m² if increase of insulation preformance or thickness . Total surface must be defined"</v>
      </c>
      <c r="N25" s="1010"/>
      <c r="O25" s="1010"/>
      <c r="P25" s="1010"/>
      <c r="Q25" s="48"/>
      <c r="R25" s="48"/>
      <c r="S25" s="327"/>
    </row>
    <row r="26" spans="1:26" ht="15" customHeight="1" x14ac:dyDescent="0.3">
      <c r="A26" s="327"/>
      <c r="B26" s="8"/>
      <c r="C26" s="869"/>
      <c r="D26" s="869"/>
      <c r="E26" s="869"/>
      <c r="F26" s="898"/>
      <c r="G26" s="898"/>
      <c r="H26" s="869"/>
      <c r="I26" s="19"/>
      <c r="J26" s="19"/>
      <c r="K26" s="45"/>
      <c r="L26" s="327"/>
      <c r="M26" s="1010"/>
      <c r="N26" s="1010"/>
      <c r="O26" s="1010"/>
      <c r="P26" s="1010"/>
      <c r="Q26" s="48"/>
      <c r="R26" s="327"/>
      <c r="S26" s="327"/>
    </row>
    <row r="27" spans="1:26" ht="15" customHeight="1" thickBot="1" x14ac:dyDescent="0.35">
      <c r="A27" s="327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27"/>
      <c r="M27" s="1010"/>
      <c r="N27" s="1010"/>
      <c r="O27" s="1010"/>
      <c r="P27" s="1010"/>
      <c r="Q27" s="48"/>
      <c r="R27" s="327"/>
      <c r="S27" s="327"/>
    </row>
    <row r="28" spans="1:26" ht="15" customHeight="1" thickTop="1" thickBot="1" x14ac:dyDescent="0.35">
      <c r="A28" s="327"/>
      <c r="B28" s="327"/>
      <c r="C28" s="327"/>
      <c r="D28" s="327"/>
      <c r="E28" s="327"/>
      <c r="F28" s="327"/>
      <c r="G28" s="327"/>
      <c r="H28" s="327"/>
      <c r="I28" s="327"/>
      <c r="J28" s="327"/>
      <c r="K28" s="327"/>
      <c r="L28" s="327"/>
      <c r="M28" s="327"/>
      <c r="N28" s="327"/>
      <c r="O28" s="327"/>
      <c r="P28" s="327"/>
      <c r="Q28" s="327"/>
      <c r="R28" s="327"/>
      <c r="S28" s="327"/>
    </row>
    <row r="29" spans="1:26" ht="15" customHeight="1" thickTop="1" x14ac:dyDescent="0.3">
      <c r="A29" s="32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7"/>
    </row>
    <row r="30" spans="1:26" x14ac:dyDescent="0.3">
      <c r="A30" s="32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32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32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3">
      <c r="A33" s="327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3">
      <c r="A34" s="327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3">
      <c r="A35" s="327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3">
      <c r="A36" s="327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3">
      <c r="A37" s="327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3">
      <c r="A38" s="327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3">
      <c r="A39" s="327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3">
      <c r="A40" s="327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3">
      <c r="A41" s="327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3">
      <c r="A42" s="327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00000000000006" customHeight="1" x14ac:dyDescent="0.6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1035" t="s">
        <v>111</v>
      </c>
      <c r="Q43" s="1035"/>
      <c r="R43" s="16"/>
      <c r="S43" s="16"/>
      <c r="T43" s="207" t="s">
        <v>160</v>
      </c>
    </row>
    <row r="44" spans="1:21" ht="57.6" x14ac:dyDescent="0.3">
      <c r="A44" s="1020" t="s">
        <v>5</v>
      </c>
      <c r="B44" s="1020"/>
      <c r="C44" s="196" t="s">
        <v>37</v>
      </c>
      <c r="D44" s="196" t="s">
        <v>43</v>
      </c>
      <c r="E44" s="196" t="s">
        <v>30</v>
      </c>
      <c r="F44" s="196" t="s">
        <v>31</v>
      </c>
      <c r="G44" s="197" t="s">
        <v>88</v>
      </c>
      <c r="H44" s="196" t="s">
        <v>69</v>
      </c>
      <c r="I44" s="196" t="s">
        <v>68</v>
      </c>
      <c r="J44" s="198" t="s">
        <v>14</v>
      </c>
      <c r="K44" s="198" t="s">
        <v>29</v>
      </c>
      <c r="L44" s="198" t="s">
        <v>27</v>
      </c>
      <c r="M44" s="154" t="s">
        <v>28</v>
      </c>
      <c r="N44" s="86" t="s">
        <v>94</v>
      </c>
      <c r="O44" s="86" t="s">
        <v>95</v>
      </c>
      <c r="P44" s="86"/>
      <c r="Q44" s="86"/>
      <c r="R44" s="16"/>
      <c r="S44" s="16"/>
      <c r="T44" s="208" t="s">
        <v>161</v>
      </c>
      <c r="U44" s="208"/>
    </row>
    <row r="45" spans="1:21" x14ac:dyDescent="0.3">
      <c r="A45" s="886" t="str">
        <f>G5</f>
        <v>N90323</v>
      </c>
      <c r="B45" s="886"/>
      <c r="C45" s="263">
        <f>F13</f>
        <v>1</v>
      </c>
      <c r="D45" s="263">
        <f>N8</f>
        <v>600</v>
      </c>
      <c r="E45" s="264">
        <f>F25</f>
        <v>52</v>
      </c>
      <c r="F45" s="264">
        <f>F21</f>
        <v>26</v>
      </c>
      <c r="G45" s="264">
        <f>H17</f>
        <v>0.9</v>
      </c>
      <c r="H45" s="264">
        <f>P5</f>
        <v>6000</v>
      </c>
      <c r="I45" s="265">
        <f>TBi!$L$27</f>
        <v>0.05</v>
      </c>
      <c r="J45" s="200">
        <f>IF(E45=0,"",G45*D63*(((E45+273)^4-(F45+273)^4)/(E45-F45)))</f>
        <v>6.2105602733478715</v>
      </c>
      <c r="K45" s="201">
        <f>IF(E45=0,"",1.74*ABS(E45-F45)^0.3333333)</f>
        <v>5.1547425992071609</v>
      </c>
      <c r="L45" s="200">
        <f>IF(E45=0,"",J45+K45)</f>
        <v>11.365302872555032</v>
      </c>
      <c r="M45" s="202">
        <f>IF(E45=0,"",L45*ABS(E45-F45))</f>
        <v>295.49787468643086</v>
      </c>
      <c r="N45" s="85">
        <f>IF(E45=0,"",M45*H45*C45/1000)</f>
        <v>1772.9872481185853</v>
      </c>
      <c r="O45" s="85">
        <f>IF(E45=0,"",N45*I45)</f>
        <v>88.649362405929267</v>
      </c>
      <c r="P45" s="67"/>
      <c r="Q45" s="67"/>
      <c r="R45" s="16"/>
      <c r="S45" s="16"/>
      <c r="T45" s="209">
        <f>(D45-E45)*$T$47/M45</f>
        <v>0.18544972635810431</v>
      </c>
      <c r="U45" s="209"/>
    </row>
    <row r="46" spans="1:21" x14ac:dyDescent="0.3">
      <c r="A46" s="329" t="s">
        <v>110</v>
      </c>
      <c r="B46" s="329" t="str">
        <f>A45</f>
        <v>N90323</v>
      </c>
      <c r="C46" s="263">
        <f>C45</f>
        <v>1</v>
      </c>
      <c r="D46" s="263">
        <f>D45</f>
        <v>600</v>
      </c>
      <c r="E46" s="432">
        <f>D75</f>
        <v>55</v>
      </c>
      <c r="F46" s="432">
        <f>D76</f>
        <v>35</v>
      </c>
      <c r="G46" s="264">
        <f>D77</f>
        <v>0.8</v>
      </c>
      <c r="H46" s="264">
        <f>H45</f>
        <v>6000</v>
      </c>
      <c r="I46" s="265">
        <f>I45</f>
        <v>0.05</v>
      </c>
      <c r="J46" s="200">
        <f>IF(E46=0,"",G46*D63*(((E46+273)^4-(F46+273)^4)/(E46-F46)))</f>
        <v>5.8407922844206084</v>
      </c>
      <c r="K46" s="201">
        <f>IF(E46=0,"",1.74*ABS(E46-F46)^0.3333333)</f>
        <v>4.72308618123839</v>
      </c>
      <c r="L46" s="200">
        <f>IF(E46=0,"",J46+K46)</f>
        <v>10.563878465658998</v>
      </c>
      <c r="M46" s="202">
        <f>IF(E46=0,"",L46*ABS(E46-F46))</f>
        <v>211.27756931317998</v>
      </c>
      <c r="N46" s="203">
        <f>IF(E46=0,"",M46*H46*C46/1000)</f>
        <v>1267.6654158790798</v>
      </c>
      <c r="O46" s="203">
        <f>IF(E46=0,"",N46*I46)</f>
        <v>63.38327079395399</v>
      </c>
      <c r="P46" s="85"/>
      <c r="Q46" s="85"/>
      <c r="R46" s="16"/>
      <c r="S46" s="16"/>
      <c r="T46" s="209">
        <f>(D46-E46)*$T$47/M46</f>
        <v>0.25795450116720064</v>
      </c>
      <c r="U46" s="209"/>
    </row>
    <row r="47" spans="1:21" s="16" customFormat="1" ht="18" x14ac:dyDescent="0.3">
      <c r="A47" s="193"/>
      <c r="B47" s="62"/>
      <c r="C47" s="62"/>
      <c r="D47" s="189"/>
      <c r="E47" s="189"/>
      <c r="F47" s="189"/>
      <c r="G47" s="63"/>
      <c r="H47" s="63"/>
      <c r="I47" s="63"/>
      <c r="J47" s="64"/>
      <c r="K47" s="65"/>
      <c r="L47" s="64"/>
      <c r="M47" s="81"/>
      <c r="N47" s="81"/>
      <c r="O47" s="81"/>
      <c r="P47" s="194" t="s">
        <v>71</v>
      </c>
      <c r="Q47" s="195" t="s">
        <v>24</v>
      </c>
      <c r="R47" s="37"/>
      <c r="S47" s="37"/>
      <c r="T47" s="310">
        <v>0.1</v>
      </c>
      <c r="U47" s="210"/>
    </row>
    <row r="48" spans="1:21" s="16" customFormat="1" x14ac:dyDescent="0.3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/>
      <c r="L48" s="64"/>
      <c r="M48" s="66"/>
      <c r="N48" s="135"/>
      <c r="O48" s="135"/>
      <c r="P48" s="192">
        <f>N45-N46</f>
        <v>505.32183223950551</v>
      </c>
      <c r="Q48" s="85">
        <f>O45-O46</f>
        <v>25.266091611975277</v>
      </c>
      <c r="R48" s="37"/>
      <c r="S48" s="37"/>
      <c r="T48" s="208" t="s">
        <v>65</v>
      </c>
      <c r="U48" s="208"/>
    </row>
    <row r="49" spans="1:21" s="16" customFormat="1" x14ac:dyDescent="0.3">
      <c r="A49" s="62"/>
      <c r="B49" s="62"/>
      <c r="C49" s="62"/>
      <c r="D49" s="62"/>
      <c r="E49" s="190"/>
      <c r="F49" s="190"/>
      <c r="G49" s="63"/>
      <c r="H49" s="63"/>
      <c r="I49" s="63"/>
      <c r="J49" s="64"/>
      <c r="K49" s="65"/>
      <c r="L49" s="64"/>
      <c r="M49" s="66"/>
      <c r="N49" s="135"/>
      <c r="O49" s="135"/>
      <c r="P49" s="129"/>
      <c r="Q49" s="129"/>
      <c r="R49" s="37"/>
      <c r="S49" s="37"/>
      <c r="T49" s="208"/>
      <c r="U49" s="208"/>
    </row>
    <row r="50" spans="1:21" s="16" customFormat="1" x14ac:dyDescent="0.3">
      <c r="A50" s="62"/>
      <c r="B50" s="62"/>
      <c r="C50" s="62"/>
      <c r="D50" s="62"/>
      <c r="E50" s="190"/>
      <c r="F50" s="190"/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208"/>
      <c r="U50" s="208"/>
    </row>
    <row r="51" spans="1:21" s="16" customFormat="1" x14ac:dyDescent="0.3">
      <c r="A51" s="62"/>
      <c r="B51" s="62"/>
      <c r="C51" s="62"/>
      <c r="D51" s="62"/>
      <c r="E51" s="190"/>
      <c r="F51" s="190"/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208"/>
      <c r="U51" s="208"/>
    </row>
    <row r="52" spans="1:21" s="16" customFormat="1" x14ac:dyDescent="0.3">
      <c r="A52" s="62"/>
      <c r="B52" s="62"/>
      <c r="C52" s="62"/>
      <c r="D52" s="62"/>
      <c r="E52" s="190"/>
      <c r="F52" s="190"/>
      <c r="G52" s="63"/>
      <c r="H52" s="63"/>
      <c r="I52" s="63"/>
      <c r="J52" s="64"/>
      <c r="K52" s="65"/>
      <c r="L52" s="64"/>
      <c r="M52" s="66"/>
      <c r="N52" s="135"/>
      <c r="O52" s="135"/>
      <c r="P52" s="129"/>
      <c r="Q52" s="129"/>
      <c r="R52" s="37"/>
      <c r="S52" s="37"/>
      <c r="T52" s="208"/>
      <c r="U52" s="208"/>
    </row>
    <row r="53" spans="1:21" s="16" customFormat="1" ht="15" thickBot="1" x14ac:dyDescent="0.35">
      <c r="A53" s="62"/>
      <c r="B53" s="62"/>
      <c r="C53" s="62"/>
      <c r="D53" s="62"/>
      <c r="E53" s="190"/>
      <c r="F53" s="190"/>
      <c r="G53" s="63"/>
      <c r="H53" s="63"/>
      <c r="I53" s="63"/>
      <c r="J53" s="64"/>
      <c r="K53" s="65"/>
      <c r="L53" s="64"/>
      <c r="M53" s="66"/>
      <c r="N53" s="135"/>
      <c r="O53" s="135"/>
      <c r="P53" s="129"/>
      <c r="Q53" s="129"/>
      <c r="R53" s="37"/>
      <c r="S53" s="37"/>
      <c r="T53" s="208"/>
      <c r="U53" s="208"/>
    </row>
    <row r="54" spans="1:21" s="16" customFormat="1" x14ac:dyDescent="0.3">
      <c r="A54" s="62"/>
      <c r="B54" s="62"/>
      <c r="C54" s="62"/>
      <c r="D54" s="62"/>
      <c r="E54" s="190"/>
      <c r="F54" s="190"/>
      <c r="G54" s="63"/>
      <c r="H54" s="63"/>
      <c r="I54" s="63"/>
      <c r="J54" s="64"/>
      <c r="K54" s="1026" t="s">
        <v>423</v>
      </c>
      <c r="L54" s="1027"/>
      <c r="M54" s="1027"/>
      <c r="N54" s="1027"/>
      <c r="O54" s="1027"/>
      <c r="P54" s="1028"/>
      <c r="Q54" s="129"/>
      <c r="R54" s="37"/>
      <c r="S54" s="37"/>
      <c r="T54" s="208"/>
      <c r="U54" s="208"/>
    </row>
    <row r="55" spans="1:21" s="16" customFormat="1" x14ac:dyDescent="0.3">
      <c r="A55" s="62"/>
      <c r="B55" s="62"/>
      <c r="C55" s="62"/>
      <c r="D55" s="62"/>
      <c r="E55" s="190"/>
      <c r="F55" s="190"/>
      <c r="G55" s="63"/>
      <c r="H55" s="63"/>
      <c r="I55" s="63"/>
      <c r="J55" s="64"/>
      <c r="K55" s="1029"/>
      <c r="L55" s="1030"/>
      <c r="M55" s="1030"/>
      <c r="N55" s="1030"/>
      <c r="O55" s="1030"/>
      <c r="P55" s="1031"/>
      <c r="Q55" s="129"/>
      <c r="R55" s="37"/>
      <c r="S55" s="37"/>
      <c r="T55" s="208"/>
      <c r="U55" s="208"/>
    </row>
    <row r="56" spans="1:21" s="16" customFormat="1" ht="15" thickBot="1" x14ac:dyDescent="0.35">
      <c r="A56" s="62"/>
      <c r="B56" s="62"/>
      <c r="C56" s="62"/>
      <c r="D56" s="62"/>
      <c r="E56" s="190"/>
      <c r="F56" s="190"/>
      <c r="G56" s="63"/>
      <c r="H56" s="63"/>
      <c r="I56" s="63"/>
      <c r="J56" s="64"/>
      <c r="K56" s="1032"/>
      <c r="L56" s="1033"/>
      <c r="M56" s="1033"/>
      <c r="N56" s="1033"/>
      <c r="O56" s="1033"/>
      <c r="P56" s="1034"/>
      <c r="Q56" s="129"/>
      <c r="R56" s="37"/>
      <c r="S56" s="37"/>
      <c r="T56" s="208"/>
      <c r="U56" s="208"/>
    </row>
    <row r="57" spans="1:21" s="16" customFormat="1" x14ac:dyDescent="0.3">
      <c r="A57" s="62"/>
      <c r="B57" s="62"/>
      <c r="C57" s="63"/>
      <c r="D57" s="63"/>
      <c r="E57" s="191"/>
      <c r="F57" s="65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1" s="16" customFormat="1" ht="15" thickBot="1" x14ac:dyDescent="0.35">
      <c r="A58" s="62"/>
      <c r="B58" s="62"/>
      <c r="C58" s="62"/>
      <c r="D58" s="63"/>
      <c r="E58" s="64"/>
      <c r="F58" s="64"/>
      <c r="G58" s="63"/>
      <c r="H58" s="63"/>
      <c r="I58" s="63"/>
      <c r="J58" s="64"/>
      <c r="K58" s="65"/>
      <c r="L58" s="64"/>
      <c r="M58" s="66"/>
      <c r="N58" s="129"/>
      <c r="O58" s="129"/>
      <c r="P58" s="135"/>
      <c r="Q58" s="135"/>
      <c r="R58" s="37"/>
      <c r="S58" s="37"/>
      <c r="T58" s="37"/>
    </row>
    <row r="59" spans="1:21" s="16" customFormat="1" ht="15" thickBot="1" x14ac:dyDescent="0.35">
      <c r="A59" s="62"/>
      <c r="B59" s="62"/>
      <c r="C59" s="62"/>
      <c r="D59" s="147"/>
      <c r="E59" s="158"/>
      <c r="F59" s="17"/>
      <c r="G59" s="63"/>
      <c r="H59" s="63"/>
      <c r="I59" s="63"/>
      <c r="J59" s="64"/>
      <c r="K59" s="65"/>
      <c r="L59" s="64"/>
      <c r="M59" s="66"/>
      <c r="N59" s="129"/>
      <c r="O59" s="129"/>
      <c r="P59" s="135"/>
      <c r="Q59" s="135"/>
      <c r="R59" s="37"/>
      <c r="S59" s="37"/>
      <c r="T59" s="37"/>
    </row>
    <row r="60" spans="1:21" s="16" customFormat="1" x14ac:dyDescent="0.3">
      <c r="A60" s="62"/>
      <c r="B60" s="62"/>
      <c r="C60" s="62"/>
      <c r="D60" s="63"/>
      <c r="E60" s="64"/>
      <c r="F60" s="63"/>
      <c r="G60" s="63"/>
      <c r="H60" s="63"/>
      <c r="I60" s="63"/>
      <c r="J60" s="64"/>
      <c r="K60" s="65"/>
      <c r="L60" s="64"/>
      <c r="M60" s="66"/>
      <c r="N60" s="129"/>
      <c r="O60" s="129"/>
      <c r="P60" s="135"/>
      <c r="Q60" s="135"/>
      <c r="R60" s="37"/>
      <c r="S60" s="37"/>
      <c r="T60" s="37"/>
    </row>
    <row r="61" spans="1:21" s="16" customFormat="1" ht="15" thickBot="1" x14ac:dyDescent="0.35">
      <c r="A61" s="922" t="s">
        <v>119</v>
      </c>
      <c r="B61" s="922"/>
      <c r="C61" s="922"/>
      <c r="D61" s="922"/>
      <c r="E61" s="922"/>
      <c r="F61" s="922"/>
      <c r="G61" s="922"/>
      <c r="H61" s="922"/>
      <c r="I61" s="922"/>
      <c r="J61" s="922"/>
      <c r="K61" s="922"/>
      <c r="L61" s="922"/>
      <c r="M61" s="922"/>
      <c r="N61" s="922"/>
      <c r="O61" s="922"/>
      <c r="P61" s="922"/>
      <c r="Q61" s="922"/>
      <c r="R61" s="922"/>
      <c r="S61" s="922"/>
      <c r="T61" s="922"/>
      <c r="U61" s="16" t="s">
        <v>92</v>
      </c>
    </row>
    <row r="62" spans="1:21" s="2" customFormat="1" ht="15" thickBot="1" x14ac:dyDescent="0.35">
      <c r="A62" s="948" t="s">
        <v>174</v>
      </c>
      <c r="B62" s="949"/>
      <c r="C62" s="949"/>
      <c r="D62" s="240">
        <v>3.1415999999999999</v>
      </c>
      <c r="E62" s="63"/>
      <c r="F62" s="63"/>
      <c r="G62" s="63"/>
      <c r="H62" s="63"/>
      <c r="I62" s="63"/>
      <c r="J62" s="64"/>
      <c r="K62" s="65"/>
      <c r="L62" s="64"/>
      <c r="M62" s="66"/>
      <c r="N62" s="337"/>
      <c r="O62" s="337"/>
      <c r="P62" s="289"/>
      <c r="Q62" s="289"/>
      <c r="R62" s="338"/>
      <c r="S62" s="338"/>
      <c r="T62" s="338"/>
    </row>
    <row r="63" spans="1:21" s="2" customFormat="1" ht="15" thickBot="1" x14ac:dyDescent="0.35">
      <c r="A63" s="950" t="s">
        <v>90</v>
      </c>
      <c r="B63" s="949"/>
      <c r="C63" s="949"/>
      <c r="D63" s="313">
        <v>5.6703669999999997E-8</v>
      </c>
      <c r="E63" s="63"/>
      <c r="F63" s="63"/>
      <c r="G63" s="63"/>
      <c r="H63" s="63"/>
      <c r="I63" s="63"/>
      <c r="J63" s="64"/>
      <c r="K63" s="65"/>
      <c r="L63" s="64"/>
      <c r="M63" s="66"/>
      <c r="N63" s="337"/>
      <c r="O63" s="337"/>
      <c r="P63" s="289"/>
      <c r="Q63" s="289"/>
      <c r="R63" s="338"/>
      <c r="S63" s="338"/>
      <c r="T63" s="338"/>
    </row>
    <row r="64" spans="1:21" s="2" customFormat="1" ht="15" thickBot="1" x14ac:dyDescent="0.35">
      <c r="A64" s="920" t="s">
        <v>187</v>
      </c>
      <c r="B64" s="921" t="s">
        <v>186</v>
      </c>
      <c r="C64" s="921"/>
      <c r="D64" s="311">
        <v>25</v>
      </c>
      <c r="E64" s="138" t="s">
        <v>23</v>
      </c>
      <c r="F64" s="138"/>
      <c r="G64" s="138"/>
      <c r="H64" s="63"/>
      <c r="I64" s="63"/>
      <c r="J64" s="64"/>
      <c r="K64" s="65"/>
      <c r="L64" s="64"/>
      <c r="M64" s="66"/>
      <c r="N64" s="337"/>
      <c r="O64" s="337"/>
      <c r="P64" s="289"/>
      <c r="Q64" s="289"/>
      <c r="R64" s="338"/>
      <c r="S64" s="338"/>
      <c r="T64" s="338"/>
    </row>
    <row r="65" spans="1:22" s="2" customFormat="1" x14ac:dyDescent="0.3">
      <c r="A65" s="170"/>
      <c r="B65" s="95"/>
      <c r="C65" s="164"/>
      <c r="D65" s="63"/>
      <c r="E65" s="63"/>
      <c r="F65" s="62"/>
      <c r="G65" s="136"/>
      <c r="H65" s="63"/>
      <c r="I65" s="64"/>
      <c r="J65" s="65"/>
      <c r="K65" s="64"/>
      <c r="L65" s="66"/>
      <c r="M65" s="337"/>
      <c r="N65" s="337"/>
      <c r="O65" s="289"/>
      <c r="P65" s="289"/>
      <c r="Q65" s="338"/>
      <c r="R65" s="338"/>
      <c r="S65" s="338"/>
    </row>
    <row r="66" spans="1:22" s="2" customFormat="1" x14ac:dyDescent="0.3">
      <c r="A66" s="170"/>
      <c r="B66" s="95"/>
      <c r="C66" s="164"/>
      <c r="D66" s="63"/>
      <c r="E66" s="186"/>
      <c r="F66" s="187"/>
      <c r="G66" s="188"/>
      <c r="H66" s="63"/>
      <c r="I66" s="64"/>
      <c r="J66" s="65"/>
      <c r="K66" s="64"/>
      <c r="L66" s="66"/>
      <c r="M66" s="337"/>
      <c r="N66" s="337"/>
      <c r="O66" s="289"/>
      <c r="P66" s="289"/>
      <c r="Q66" s="338"/>
      <c r="R66" s="338"/>
      <c r="S66" s="338"/>
    </row>
    <row r="67" spans="1:22" s="2" customFormat="1" x14ac:dyDescent="0.3">
      <c r="A67" s="170"/>
      <c r="B67" s="95"/>
      <c r="C67" s="176"/>
      <c r="D67" s="63"/>
      <c r="E67" s="186"/>
      <c r="F67" s="187"/>
      <c r="G67" s="188"/>
      <c r="H67" s="63"/>
      <c r="I67" s="64"/>
      <c r="J67" s="65"/>
      <c r="K67" s="64"/>
      <c r="L67" s="66"/>
      <c r="M67" s="337"/>
      <c r="N67" s="337"/>
      <c r="O67" s="289"/>
      <c r="P67" s="289"/>
      <c r="Q67" s="338"/>
      <c r="R67" s="338"/>
      <c r="S67" s="338"/>
    </row>
    <row r="68" spans="1:22" s="2" customFormat="1" x14ac:dyDescent="0.3">
      <c r="A68" s="170"/>
      <c r="B68" s="95"/>
      <c r="C68" s="176"/>
      <c r="D68" s="63"/>
      <c r="E68" s="63"/>
      <c r="F68" s="63"/>
      <c r="G68" s="188"/>
      <c r="H68" s="63"/>
      <c r="I68" s="64"/>
      <c r="J68" s="65"/>
      <c r="K68" s="64"/>
      <c r="L68" s="66"/>
      <c r="M68" s="337"/>
      <c r="N68" s="337"/>
      <c r="O68" s="289"/>
      <c r="P68" s="289"/>
      <c r="Q68" s="338"/>
      <c r="R68" s="338"/>
      <c r="S68" s="338"/>
    </row>
    <row r="69" spans="1:22" customFormat="1" x14ac:dyDescent="0.3">
      <c r="A69" s="62"/>
      <c r="B69" s="95"/>
      <c r="C69" s="176"/>
      <c r="D69" s="63"/>
      <c r="E69" s="63"/>
      <c r="F69" s="64"/>
      <c r="G69" s="65"/>
      <c r="H69" s="64"/>
      <c r="I69" s="66"/>
      <c r="J69" s="2"/>
      <c r="K69" s="2"/>
      <c r="L69" s="289"/>
      <c r="M69" s="289"/>
      <c r="N69" s="2"/>
      <c r="O69" s="289"/>
      <c r="P69" s="315"/>
      <c r="Q69" s="338"/>
      <c r="R69" s="338"/>
      <c r="S69" s="338"/>
      <c r="T69" s="2"/>
    </row>
    <row r="70" spans="1:22" customFormat="1" x14ac:dyDescent="0.3">
      <c r="A70" s="62"/>
      <c r="B70" s="95"/>
      <c r="C70" s="176"/>
      <c r="D70" s="63"/>
      <c r="E70" s="63"/>
      <c r="F70" s="64"/>
      <c r="G70" s="65"/>
      <c r="H70" s="64"/>
      <c r="I70" s="66"/>
      <c r="J70" s="2"/>
      <c r="K70" s="2"/>
      <c r="L70" s="289"/>
      <c r="M70" s="289"/>
      <c r="N70" s="16"/>
      <c r="O70" s="1052"/>
      <c r="P70" s="1052"/>
      <c r="Q70" s="1052"/>
      <c r="R70" s="1052"/>
      <c r="S70" s="1052"/>
      <c r="T70" s="1052"/>
      <c r="U70" s="16"/>
      <c r="V70" s="16"/>
    </row>
    <row r="71" spans="1:22" customFormat="1" ht="15" thickBot="1" x14ac:dyDescent="0.35">
      <c r="A71" s="62"/>
      <c r="B71" s="16"/>
      <c r="C71" s="135"/>
      <c r="D71" s="41"/>
      <c r="E71" s="16"/>
      <c r="F71" s="16"/>
      <c r="G71" s="16"/>
      <c r="H71" s="64"/>
      <c r="I71" s="66"/>
      <c r="J71" s="2"/>
      <c r="K71" s="2"/>
      <c r="L71" s="289"/>
      <c r="M71" s="289"/>
      <c r="N71" s="16"/>
      <c r="O71" s="1018"/>
      <c r="P71" s="1018"/>
      <c r="Q71" s="1018"/>
      <c r="R71" s="317"/>
      <c r="S71" s="317"/>
      <c r="T71" s="16"/>
      <c r="U71" s="16"/>
      <c r="V71" s="16"/>
    </row>
    <row r="72" spans="1:22" customFormat="1" ht="15" thickBot="1" x14ac:dyDescent="0.35">
      <c r="A72" s="177"/>
      <c r="B72" s="178" t="s">
        <v>147</v>
      </c>
      <c r="C72" s="162"/>
      <c r="D72" s="306">
        <v>1.6</v>
      </c>
      <c r="E72" s="16"/>
      <c r="F72" s="16"/>
      <c r="G72" s="16"/>
      <c r="H72" s="64"/>
      <c r="I72" s="66"/>
      <c r="J72" s="2"/>
      <c r="K72" s="2"/>
      <c r="L72" s="289"/>
      <c r="M72" s="289"/>
      <c r="N72" s="16"/>
      <c r="O72" s="1018"/>
      <c r="P72" s="1018"/>
      <c r="Q72" s="1018"/>
      <c r="R72" s="317"/>
      <c r="S72" s="317"/>
      <c r="T72" s="16"/>
      <c r="U72" s="16"/>
      <c r="V72" s="16"/>
    </row>
    <row r="73" spans="1:22" customFormat="1" ht="15" thickBot="1" x14ac:dyDescent="0.35">
      <c r="A73" s="177"/>
      <c r="B73" s="178" t="s">
        <v>148</v>
      </c>
      <c r="C73" s="162"/>
      <c r="D73" s="306">
        <v>2</v>
      </c>
      <c r="E73" s="16"/>
      <c r="F73" s="16"/>
      <c r="G73" s="16"/>
      <c r="H73" s="64"/>
      <c r="I73" s="66"/>
      <c r="J73" s="2"/>
      <c r="K73" s="2"/>
      <c r="L73" s="289"/>
      <c r="M73" s="289"/>
      <c r="N73" s="16"/>
      <c r="O73" s="1018"/>
      <c r="P73" s="1018"/>
      <c r="Q73" s="1018"/>
      <c r="R73" s="318"/>
      <c r="S73" s="317"/>
      <c r="T73" s="16"/>
      <c r="U73" s="16"/>
      <c r="V73" s="16"/>
    </row>
    <row r="74" spans="1:22" customFormat="1" ht="15" thickBot="1" x14ac:dyDescent="0.35">
      <c r="A74" s="1023" t="s">
        <v>96</v>
      </c>
      <c r="B74" s="1024"/>
      <c r="C74" s="1025"/>
      <c r="D74" s="307">
        <v>55</v>
      </c>
      <c r="E74" s="179" t="s">
        <v>23</v>
      </c>
      <c r="F74" s="64"/>
      <c r="G74" s="65"/>
      <c r="H74" s="64"/>
      <c r="I74" s="66"/>
      <c r="J74" s="2"/>
      <c r="K74" s="2"/>
      <c r="L74" s="289"/>
      <c r="M74" s="289"/>
      <c r="N74" s="16"/>
      <c r="O74" s="1018"/>
      <c r="P74" s="1018"/>
      <c r="Q74" s="1018"/>
      <c r="R74" s="319"/>
      <c r="S74" s="317"/>
      <c r="T74" s="16"/>
      <c r="U74" s="16"/>
      <c r="V74" s="16"/>
    </row>
    <row r="75" spans="1:22" customFormat="1" ht="15" thickBot="1" x14ac:dyDescent="0.35">
      <c r="A75" s="1039" t="s">
        <v>151</v>
      </c>
      <c r="B75" s="1040"/>
      <c r="C75" s="1040"/>
      <c r="D75" s="308">
        <v>55</v>
      </c>
      <c r="E75" s="138"/>
      <c r="F75" s="139"/>
      <c r="G75" s="140"/>
      <c r="H75" s="139"/>
      <c r="I75" s="141"/>
      <c r="J75" s="145"/>
      <c r="K75" s="2"/>
      <c r="L75" s="289"/>
      <c r="M75" s="289"/>
      <c r="N75" s="16"/>
      <c r="O75" s="1018"/>
      <c r="P75" s="1018"/>
      <c r="Q75" s="1018"/>
      <c r="R75" s="320"/>
      <c r="S75" s="37"/>
      <c r="T75" s="16"/>
      <c r="U75" s="16"/>
      <c r="V75" s="16"/>
    </row>
    <row r="76" spans="1:22" customFormat="1" ht="15" thickBot="1" x14ac:dyDescent="0.35">
      <c r="A76" s="1021" t="s">
        <v>152</v>
      </c>
      <c r="B76" s="1022"/>
      <c r="C76" s="1022"/>
      <c r="D76" s="308">
        <v>35</v>
      </c>
      <c r="E76" s="138"/>
      <c r="F76" s="139"/>
      <c r="G76" s="140"/>
      <c r="H76" s="139"/>
      <c r="I76" s="141"/>
      <c r="J76" s="145"/>
      <c r="K76" s="2"/>
      <c r="L76" s="289"/>
      <c r="M76" s="289"/>
      <c r="N76" s="16"/>
      <c r="O76" s="135"/>
      <c r="P76" s="321"/>
      <c r="Q76" s="37"/>
      <c r="R76" s="37"/>
      <c r="S76" s="37"/>
      <c r="T76" s="16"/>
      <c r="U76" s="16"/>
      <c r="V76" s="16"/>
    </row>
    <row r="77" spans="1:22" ht="15" thickBot="1" x14ac:dyDescent="0.35">
      <c r="A77" s="1021" t="s">
        <v>162</v>
      </c>
      <c r="B77" s="1022"/>
      <c r="C77" s="1022"/>
      <c r="D77" s="308">
        <v>0.8</v>
      </c>
      <c r="K77" s="1036"/>
      <c r="L77" s="1037"/>
      <c r="M77" s="1038"/>
      <c r="N77" s="322"/>
      <c r="O77" s="323"/>
      <c r="P77" s="16"/>
      <c r="Q77" s="16"/>
      <c r="R77" s="16"/>
      <c r="S77" s="16"/>
    </row>
    <row r="94" spans="1:17" ht="57.6" x14ac:dyDescent="0.3">
      <c r="A94" s="1020" t="s">
        <v>5</v>
      </c>
      <c r="B94" s="1020"/>
      <c r="C94" s="196" t="s">
        <v>37</v>
      </c>
      <c r="D94" s="196" t="s">
        <v>43</v>
      </c>
      <c r="E94" s="196" t="s">
        <v>30</v>
      </c>
      <c r="F94" s="196" t="s">
        <v>31</v>
      </c>
      <c r="G94" s="197" t="s">
        <v>88</v>
      </c>
      <c r="H94" s="196" t="s">
        <v>69</v>
      </c>
      <c r="I94" s="196" t="s">
        <v>68</v>
      </c>
      <c r="J94" s="198" t="s">
        <v>14</v>
      </c>
      <c r="K94" s="198" t="s">
        <v>29</v>
      </c>
      <c r="L94" s="198" t="s">
        <v>27</v>
      </c>
      <c r="M94" s="154" t="s">
        <v>28</v>
      </c>
      <c r="N94" s="86" t="s">
        <v>94</v>
      </c>
      <c r="O94" s="86" t="s">
        <v>95</v>
      </c>
      <c r="P94" s="86"/>
      <c r="Q94" s="86"/>
    </row>
    <row r="95" spans="1:17" ht="18" x14ac:dyDescent="0.3">
      <c r="A95" s="886"/>
      <c r="B95" s="886"/>
      <c r="C95" s="591"/>
      <c r="D95" s="263"/>
      <c r="E95" s="264"/>
      <c r="F95" s="264"/>
      <c r="G95" s="264"/>
      <c r="H95" s="264"/>
      <c r="I95" s="265"/>
      <c r="J95" s="597">
        <v>1</v>
      </c>
      <c r="K95" s="588">
        <v>2</v>
      </c>
      <c r="L95" s="588">
        <v>3</v>
      </c>
      <c r="M95" s="597">
        <v>4</v>
      </c>
      <c r="N95" s="589">
        <v>5</v>
      </c>
      <c r="O95" s="589">
        <v>6</v>
      </c>
      <c r="P95" s="194" t="s">
        <v>71</v>
      </c>
      <c r="Q95" s="195" t="s">
        <v>24</v>
      </c>
    </row>
    <row r="96" spans="1:17" ht="15.6" x14ac:dyDescent="0.3">
      <c r="A96" s="1057" t="s">
        <v>323</v>
      </c>
      <c r="B96" s="1058"/>
      <c r="C96" s="591"/>
      <c r="D96" s="263"/>
      <c r="E96" s="432" t="s">
        <v>419</v>
      </c>
      <c r="F96" s="432" t="s">
        <v>419</v>
      </c>
      <c r="G96" s="264"/>
      <c r="H96" s="264"/>
      <c r="I96" s="265"/>
      <c r="J96" s="597">
        <v>1</v>
      </c>
      <c r="K96" s="588">
        <v>2</v>
      </c>
      <c r="L96" s="588">
        <v>3</v>
      </c>
      <c r="M96" s="597">
        <v>4</v>
      </c>
      <c r="N96" s="203">
        <v>5</v>
      </c>
      <c r="O96" s="203">
        <v>6</v>
      </c>
      <c r="P96" s="590">
        <v>26</v>
      </c>
      <c r="Q96" s="590">
        <v>28</v>
      </c>
    </row>
    <row r="97" spans="1:17" ht="15.6" x14ac:dyDescent="0.3">
      <c r="A97" s="193"/>
      <c r="B97" s="62"/>
      <c r="C97" s="62"/>
      <c r="D97" s="189"/>
      <c r="E97" s="189"/>
      <c r="F97" s="189"/>
      <c r="G97" s="63"/>
      <c r="H97" s="63"/>
      <c r="I97" s="63"/>
      <c r="J97" s="64"/>
      <c r="K97" s="65"/>
      <c r="L97" s="64"/>
      <c r="M97" s="81"/>
      <c r="N97" s="81"/>
      <c r="O97" s="81"/>
      <c r="P97" s="129"/>
      <c r="Q97" s="129"/>
    </row>
    <row r="98" spans="1:17" x14ac:dyDescent="0.3">
      <c r="A98" s="62"/>
      <c r="B98" s="62"/>
      <c r="C98" s="62"/>
      <c r="D98" s="62"/>
      <c r="E98" s="190"/>
      <c r="F98" s="190"/>
      <c r="G98" s="63"/>
      <c r="H98" s="63"/>
      <c r="I98" s="63"/>
      <c r="J98" s="64"/>
      <c r="K98" s="65"/>
      <c r="L98" s="64"/>
      <c r="M98" s="66"/>
      <c r="N98" s="135"/>
      <c r="O98" s="135"/>
      <c r="P98" s="129"/>
      <c r="Q98" s="129"/>
    </row>
    <row r="99" spans="1:17" x14ac:dyDescent="0.3">
      <c r="A99" s="62"/>
      <c r="B99" s="62"/>
      <c r="C99" s="62"/>
      <c r="D99" s="62"/>
      <c r="E99" s="190"/>
      <c r="F99" s="190"/>
      <c r="G99" s="63"/>
      <c r="H99" s="63"/>
      <c r="I99" s="63"/>
      <c r="J99" s="64"/>
      <c r="K99" s="65"/>
      <c r="L99" s="64"/>
      <c r="M99" s="66"/>
      <c r="N99" s="135"/>
      <c r="O99" s="135"/>
      <c r="P99" s="129"/>
      <c r="Q99" s="129"/>
    </row>
    <row r="100" spans="1:17" x14ac:dyDescent="0.3">
      <c r="A100" s="62"/>
      <c r="B100" s="62"/>
      <c r="C100" s="62"/>
      <c r="D100" s="62"/>
      <c r="E100" s="190"/>
      <c r="F100" s="190"/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</row>
    <row r="101" spans="1:17" x14ac:dyDescent="0.3">
      <c r="A101" s="62"/>
      <c r="B101" s="62"/>
      <c r="C101" s="62"/>
      <c r="D101" s="62"/>
      <c r="E101" s="190"/>
      <c r="F101" s="190"/>
      <c r="G101" s="63"/>
      <c r="H101" s="63"/>
      <c r="I101" s="63"/>
      <c r="J101" s="64"/>
      <c r="K101" s="65"/>
      <c r="L101" s="64"/>
      <c r="M101" s="66"/>
      <c r="N101" s="135"/>
      <c r="O101" s="135"/>
      <c r="P101" s="129"/>
      <c r="Q101" s="129"/>
    </row>
    <row r="102" spans="1:17" x14ac:dyDescent="0.3">
      <c r="A102" s="62"/>
      <c r="B102" s="62"/>
      <c r="C102" s="62"/>
      <c r="D102" s="62"/>
      <c r="E102" s="190"/>
      <c r="F102" s="190"/>
      <c r="G102" s="63"/>
      <c r="H102" s="63"/>
      <c r="I102" s="63"/>
      <c r="J102" s="64"/>
      <c r="K102" s="65"/>
      <c r="L102" s="64"/>
      <c r="M102" s="66"/>
      <c r="N102" s="135"/>
      <c r="O102" s="135"/>
      <c r="P102" s="129"/>
      <c r="Q102" s="129"/>
    </row>
    <row r="103" spans="1:17" ht="15" thickBot="1" x14ac:dyDescent="0.35">
      <c r="A103" s="62"/>
      <c r="B103" s="62"/>
      <c r="C103" s="62"/>
      <c r="D103" s="62"/>
      <c r="E103" s="190"/>
      <c r="F103" s="190"/>
      <c r="G103" s="63"/>
      <c r="H103" s="63"/>
      <c r="I103" s="63"/>
      <c r="J103" s="64"/>
      <c r="K103" s="65"/>
      <c r="L103" s="64"/>
      <c r="M103" s="66"/>
      <c r="N103" s="135"/>
      <c r="O103" s="135"/>
      <c r="P103" s="129"/>
      <c r="Q103" s="129"/>
    </row>
    <row r="104" spans="1:17" ht="14.4" customHeight="1" x14ac:dyDescent="0.3">
      <c r="A104" s="62"/>
      <c r="B104" s="62"/>
      <c r="C104" s="62"/>
      <c r="D104" s="62"/>
      <c r="E104" s="190"/>
      <c r="F104" s="190"/>
      <c r="G104" s="63"/>
      <c r="H104" s="63"/>
      <c r="I104" s="63"/>
      <c r="J104" s="64"/>
      <c r="K104" s="578" t="str">
        <f>IF(Q96&gt;0,"Potential savings per m² if increase of insulation preformance or thickness . Total surface must be defined","insulation_ok")</f>
        <v>Potential savings per m² if increase of insulation preformance or thickness . Total surface must be defined</v>
      </c>
      <c r="L104" s="579"/>
      <c r="M104" s="579"/>
      <c r="N104" s="579"/>
      <c r="O104" s="579"/>
      <c r="P104" s="580"/>
      <c r="Q104" s="129"/>
    </row>
    <row r="105" spans="1:17" x14ac:dyDescent="0.3">
      <c r="A105" s="62"/>
      <c r="B105" s="62"/>
      <c r="C105" s="62"/>
      <c r="D105" s="62"/>
      <c r="E105" s="190"/>
      <c r="F105" s="190"/>
      <c r="G105" s="63"/>
      <c r="H105" s="63"/>
      <c r="I105" s="63"/>
      <c r="J105" s="64"/>
      <c r="K105" s="581"/>
      <c r="L105" s="582"/>
      <c r="M105" s="582"/>
      <c r="N105" s="582"/>
      <c r="O105" s="582"/>
      <c r="P105" s="583"/>
      <c r="Q105" s="129"/>
    </row>
    <row r="106" spans="1:17" ht="15" thickBot="1" x14ac:dyDescent="0.35">
      <c r="A106" s="62"/>
      <c r="B106" s="62"/>
      <c r="C106" s="62"/>
      <c r="D106" s="62"/>
      <c r="E106" s="190"/>
      <c r="F106" s="190"/>
      <c r="G106" s="63"/>
      <c r="H106" s="63"/>
      <c r="I106" s="63"/>
      <c r="J106" s="64"/>
      <c r="K106" s="584"/>
      <c r="L106" s="585"/>
      <c r="M106" s="585"/>
      <c r="N106" s="585"/>
      <c r="O106" s="585"/>
      <c r="P106" s="586"/>
      <c r="Q106" s="129"/>
    </row>
  </sheetData>
  <mergeCells count="50">
    <mergeCell ref="A94:B94"/>
    <mergeCell ref="A95:B95"/>
    <mergeCell ref="A96:B96"/>
    <mergeCell ref="P8:P9"/>
    <mergeCell ref="C5:E6"/>
    <mergeCell ref="K5:M6"/>
    <mergeCell ref="N5:O6"/>
    <mergeCell ref="K8:M9"/>
    <mergeCell ref="N8:O9"/>
    <mergeCell ref="M14:N17"/>
    <mergeCell ref="O14:P15"/>
    <mergeCell ref="A64:C64"/>
    <mergeCell ref="C25:E26"/>
    <mergeCell ref="F25:G26"/>
    <mergeCell ref="H25:H26"/>
    <mergeCell ref="M25:P27"/>
    <mergeCell ref="Q14:R15"/>
    <mergeCell ref="O16:P17"/>
    <mergeCell ref="Q16:R17"/>
    <mergeCell ref="C21:E22"/>
    <mergeCell ref="F21:G22"/>
    <mergeCell ref="H21:H22"/>
    <mergeCell ref="C13:E14"/>
    <mergeCell ref="F13:G14"/>
    <mergeCell ref="H13:H14"/>
    <mergeCell ref="C17:E18"/>
    <mergeCell ref="F17:G18"/>
    <mergeCell ref="M18:N21"/>
    <mergeCell ref="O18:P19"/>
    <mergeCell ref="Q18:R19"/>
    <mergeCell ref="O20:P21"/>
    <mergeCell ref="Q20:R21"/>
    <mergeCell ref="P43:Q43"/>
    <mergeCell ref="A44:B44"/>
    <mergeCell ref="A45:B45"/>
    <mergeCell ref="K54:P56"/>
    <mergeCell ref="A61:T61"/>
    <mergeCell ref="A62:C62"/>
    <mergeCell ref="A63:C63"/>
    <mergeCell ref="O70:T70"/>
    <mergeCell ref="O71:Q71"/>
    <mergeCell ref="O72:Q72"/>
    <mergeCell ref="A76:C76"/>
    <mergeCell ref="A77:C77"/>
    <mergeCell ref="K77:M77"/>
    <mergeCell ref="O73:Q73"/>
    <mergeCell ref="A74:C74"/>
    <mergeCell ref="O74:Q74"/>
    <mergeCell ref="A75:C75"/>
    <mergeCell ref="O75:Q75"/>
  </mergeCells>
  <conditionalFormatting sqref="F25:G26">
    <cfRule type="cellIs" dxfId="3" priority="1" operator="greaterThan">
      <formula>55</formula>
    </cfRule>
  </conditionalFormatting>
  <dataValidations count="1">
    <dataValidation type="list" allowBlank="1" showInputMessage="1" showErrorMessage="1" promptTitle="Select a value " sqref="F17" xr:uid="{09147CAC-0B88-4B55-89F7-8EFD6270E595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7532DA3-260E-4BD1-8918-AA0194BAA3DD}">
          <x14:formula1>
            <xm:f>'Default values '!$C$2:$C$10</xm:f>
          </x14:formula1>
          <xm:sqref>N5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0E48F-3E56-43D9-B24C-E58FD1ED9208}">
  <dimension ref="A1:Z52"/>
  <sheetViews>
    <sheetView topLeftCell="A4" workbookViewId="0"/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327"/>
      <c r="B1" s="327"/>
      <c r="C1" s="327"/>
      <c r="D1" s="327"/>
      <c r="E1" s="327"/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</row>
    <row r="2" spans="1:26" ht="15" customHeight="1" x14ac:dyDescent="0.3">
      <c r="A2" s="327"/>
      <c r="B2" s="15"/>
      <c r="C2" s="15"/>
      <c r="D2" s="15"/>
      <c r="E2" s="15"/>
      <c r="F2" s="15"/>
      <c r="G2" s="327"/>
      <c r="H2" s="327"/>
      <c r="I2" s="327"/>
      <c r="J2" s="327"/>
      <c r="K2" s="327"/>
      <c r="L2" s="327"/>
      <c r="M2" s="327"/>
      <c r="N2" s="327"/>
      <c r="O2" s="327"/>
      <c r="P2" s="327"/>
      <c r="Q2" s="327"/>
      <c r="R2" s="327"/>
      <c r="S2" s="327"/>
    </row>
    <row r="3" spans="1:26" ht="7.8" customHeight="1" x14ac:dyDescent="0.3">
      <c r="A3" s="32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7"/>
    </row>
    <row r="4" spans="1:26" ht="5.4" customHeight="1" x14ac:dyDescent="0.3">
      <c r="A4" s="327"/>
      <c r="B4" s="327"/>
      <c r="C4" s="327"/>
      <c r="D4" s="327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  <c r="Q4" s="327"/>
      <c r="R4" s="327"/>
      <c r="S4" s="327"/>
      <c r="T4" s="24"/>
    </row>
    <row r="5" spans="1:26" s="23" customFormat="1" ht="15" customHeight="1" x14ac:dyDescent="0.3">
      <c r="A5" s="26"/>
      <c r="B5" s="28"/>
      <c r="C5" s="864" t="s">
        <v>16</v>
      </c>
      <c r="D5" s="864"/>
      <c r="E5" s="864"/>
      <c r="F5" s="32" t="s">
        <v>40</v>
      </c>
      <c r="G5" s="997" t="s">
        <v>244</v>
      </c>
      <c r="H5" s="997"/>
      <c r="I5" s="997"/>
      <c r="J5" s="997"/>
      <c r="K5" s="866" t="s">
        <v>15</v>
      </c>
      <c r="L5" s="866"/>
      <c r="M5" s="866"/>
      <c r="N5" s="908" t="s">
        <v>20</v>
      </c>
      <c r="O5" s="908"/>
      <c r="P5" s="32">
        <f>VLOOKUP(N5,'Default values '!C2:D10,2,TRUE)</f>
        <v>7000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327"/>
      <c r="B6" s="14"/>
      <c r="C6" s="864"/>
      <c r="D6" s="864"/>
      <c r="E6" s="864"/>
      <c r="F6" s="32"/>
      <c r="G6" s="997"/>
      <c r="H6" s="997"/>
      <c r="I6" s="997"/>
      <c r="J6" s="997"/>
      <c r="K6" s="866"/>
      <c r="L6" s="866"/>
      <c r="M6" s="866"/>
      <c r="N6" s="908"/>
      <c r="O6" s="908"/>
      <c r="P6" s="14"/>
      <c r="Q6" s="14"/>
      <c r="R6" s="14"/>
      <c r="S6" s="14"/>
    </row>
    <row r="7" spans="1:26" ht="15" customHeight="1" x14ac:dyDescent="0.35">
      <c r="A7" s="327"/>
      <c r="B7" s="14"/>
      <c r="C7" s="328"/>
      <c r="D7" s="328"/>
      <c r="E7" s="328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327"/>
      <c r="B8" s="14"/>
      <c r="C8" s="328"/>
      <c r="D8" s="328"/>
      <c r="E8" s="328"/>
      <c r="F8" s="47"/>
      <c r="G8" s="285"/>
      <c r="H8" s="285"/>
      <c r="I8" s="285"/>
      <c r="J8" s="285"/>
      <c r="K8" s="866" t="s">
        <v>42</v>
      </c>
      <c r="L8" s="866"/>
      <c r="M8" s="866"/>
      <c r="N8" s="898">
        <v>580</v>
      </c>
      <c r="O8" s="898"/>
      <c r="P8" s="869" t="s">
        <v>23</v>
      </c>
      <c r="Q8" s="14"/>
      <c r="R8" s="14"/>
      <c r="S8" s="14"/>
    </row>
    <row r="9" spans="1:26" s="23" customFormat="1" ht="15" customHeight="1" x14ac:dyDescent="0.35">
      <c r="A9" s="327"/>
      <c r="B9" s="14"/>
      <c r="C9" s="328"/>
      <c r="D9" s="328"/>
      <c r="E9" s="328"/>
      <c r="F9" s="47"/>
      <c r="G9" s="285"/>
      <c r="H9" s="285"/>
      <c r="I9" s="285"/>
      <c r="J9" s="285"/>
      <c r="K9" s="866"/>
      <c r="L9" s="866"/>
      <c r="M9" s="866"/>
      <c r="N9" s="898"/>
      <c r="O9" s="898"/>
      <c r="P9" s="869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5">
      <c r="A10" s="327"/>
      <c r="B10" s="14"/>
      <c r="C10" s="328"/>
      <c r="D10" s="328"/>
      <c r="E10" s="328"/>
      <c r="F10" s="47"/>
      <c r="G10" s="47"/>
      <c r="H10" s="4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  <c r="W10" s="16" t="s">
        <v>275</v>
      </c>
    </row>
    <row r="11" spans="1:26" ht="15" customHeight="1" thickBot="1" x14ac:dyDescent="0.4">
      <c r="A11" s="327"/>
      <c r="B11" s="14"/>
      <c r="C11" s="14"/>
      <c r="D11" s="14"/>
      <c r="E11" s="14"/>
      <c r="F11" s="14"/>
      <c r="G11" s="14"/>
      <c r="H11" s="14"/>
      <c r="I11" s="327"/>
      <c r="J11" s="327"/>
      <c r="K11" s="327"/>
      <c r="L11" s="327"/>
      <c r="M11" s="327"/>
      <c r="N11" s="327"/>
      <c r="O11" s="327"/>
      <c r="P11" s="327"/>
      <c r="Q11" s="327"/>
      <c r="R11" s="327"/>
      <c r="S11" s="327"/>
    </row>
    <row r="12" spans="1:26" ht="15" customHeight="1" thickTop="1" x14ac:dyDescent="0.35">
      <c r="A12" s="327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7"/>
      <c r="M12" s="15"/>
      <c r="N12" s="15"/>
      <c r="O12" s="15"/>
      <c r="P12" s="15"/>
      <c r="Q12" s="15"/>
      <c r="R12" s="15"/>
      <c r="S12" s="327"/>
    </row>
    <row r="13" spans="1:26" s="23" customFormat="1" ht="15" customHeight="1" x14ac:dyDescent="0.3">
      <c r="A13" s="26"/>
      <c r="B13" s="31"/>
      <c r="C13" s="869" t="s">
        <v>198</v>
      </c>
      <c r="D13" s="869"/>
      <c r="E13" s="869"/>
      <c r="F13" s="1061"/>
      <c r="G13" s="869" t="s">
        <v>199</v>
      </c>
      <c r="H13" s="1062" t="s">
        <v>200</v>
      </c>
      <c r="I13" s="1061">
        <v>500</v>
      </c>
      <c r="J13" s="1062" t="s">
        <v>170</v>
      </c>
      <c r="K13" s="1061">
        <v>27</v>
      </c>
      <c r="L13" s="26"/>
      <c r="M13" s="1059" t="e">
        <f>IF(H16="","",E35)</f>
        <v>#N/A</v>
      </c>
      <c r="N13" s="1059"/>
      <c r="O13" s="1059"/>
      <c r="P13" s="1059"/>
      <c r="Q13" s="1059"/>
      <c r="R13" s="1059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327"/>
      <c r="B14" s="8"/>
      <c r="C14" s="869"/>
      <c r="D14" s="869"/>
      <c r="E14" s="869"/>
      <c r="F14" s="1061"/>
      <c r="G14" s="869"/>
      <c r="H14" s="866"/>
      <c r="I14" s="1061"/>
      <c r="J14" s="866"/>
      <c r="K14" s="1061"/>
      <c r="L14" s="26"/>
      <c r="M14" s="1059"/>
      <c r="N14" s="1059"/>
      <c r="O14" s="1059"/>
      <c r="P14" s="1059"/>
      <c r="Q14" s="1059"/>
      <c r="R14" s="1059"/>
      <c r="S14" s="327"/>
    </row>
    <row r="15" spans="1:26" ht="15" customHeight="1" x14ac:dyDescent="0.3">
      <c r="A15" s="327"/>
      <c r="B15" s="8"/>
      <c r="C15" s="327"/>
      <c r="D15" s="327"/>
      <c r="E15" s="327"/>
      <c r="F15" s="33"/>
      <c r="G15" s="33"/>
      <c r="H15" s="327"/>
      <c r="I15" s="27"/>
      <c r="J15" s="27"/>
      <c r="K15" s="45"/>
      <c r="L15" s="27"/>
      <c r="M15" s="1060" t="e">
        <f>IF(H16="","",E37)</f>
        <v>#N/A</v>
      </c>
      <c r="N15" s="1060"/>
      <c r="O15" s="1060"/>
      <c r="P15" s="1060"/>
      <c r="Q15" s="1060"/>
      <c r="R15" s="1060"/>
      <c r="S15" s="327"/>
    </row>
    <row r="16" spans="1:26" s="23" customFormat="1" ht="15" customHeight="1" x14ac:dyDescent="0.3">
      <c r="A16" s="26"/>
      <c r="B16" s="31"/>
      <c r="C16" s="869" t="s">
        <v>109</v>
      </c>
      <c r="D16" s="869"/>
      <c r="E16" s="869"/>
      <c r="F16" s="908" t="s">
        <v>11</v>
      </c>
      <c r="G16" s="908"/>
      <c r="H16" s="52" t="e">
        <f>IF(F16="","",VLOOKUP(F16,'Default values '!A2:B7,2,FALSE))</f>
        <v>#N/A</v>
      </c>
      <c r="I16" s="27"/>
      <c r="J16" s="27"/>
      <c r="K16" s="51"/>
      <c r="L16" s="27"/>
      <c r="M16" s="1060"/>
      <c r="N16" s="1060"/>
      <c r="O16" s="1060"/>
      <c r="P16" s="1060"/>
      <c r="Q16" s="1060"/>
      <c r="R16" s="1060"/>
      <c r="S16" s="26"/>
      <c r="T16" s="22"/>
      <c r="U16" s="22"/>
      <c r="V16" s="22"/>
      <c r="W16" s="22"/>
      <c r="X16" s="22"/>
      <c r="Y16" s="22"/>
      <c r="Z16" s="22"/>
    </row>
    <row r="17" spans="1:26" ht="15" customHeight="1" x14ac:dyDescent="0.3">
      <c r="A17" s="327"/>
      <c r="B17" s="8"/>
      <c r="C17" s="869"/>
      <c r="D17" s="869"/>
      <c r="E17" s="869"/>
      <c r="F17" s="908"/>
      <c r="G17" s="908"/>
      <c r="H17" s="15"/>
      <c r="I17" s="327"/>
      <c r="J17" s="327"/>
      <c r="K17" s="9"/>
      <c r="L17" s="327"/>
      <c r="M17" s="1060"/>
      <c r="N17" s="1060"/>
      <c r="O17" s="1060"/>
      <c r="P17" s="1060"/>
      <c r="Q17" s="1060"/>
      <c r="R17" s="1060"/>
      <c r="S17" s="327"/>
    </row>
    <row r="18" spans="1:26" ht="15" customHeight="1" x14ac:dyDescent="0.3">
      <c r="A18" s="327"/>
      <c r="B18" s="8"/>
      <c r="C18" s="15"/>
      <c r="D18" s="15"/>
      <c r="E18" s="15"/>
      <c r="F18" s="33"/>
      <c r="G18" s="33"/>
      <c r="H18" s="15"/>
      <c r="I18" s="327"/>
      <c r="J18" s="327"/>
      <c r="K18" s="9"/>
      <c r="L18" s="327"/>
      <c r="M18" s="1060"/>
      <c r="N18" s="1060"/>
      <c r="O18" s="1060"/>
      <c r="P18" s="1060"/>
      <c r="Q18" s="1060"/>
      <c r="R18" s="1060"/>
      <c r="S18" s="327"/>
    </row>
    <row r="19" spans="1:26" ht="15" customHeight="1" x14ac:dyDescent="0.4">
      <c r="A19" s="437"/>
      <c r="B19" s="8"/>
      <c r="C19" s="1065" t="s">
        <v>346</v>
      </c>
      <c r="D19" s="1065"/>
      <c r="E19" s="1065"/>
      <c r="F19" s="1065" t="s">
        <v>301</v>
      </c>
      <c r="G19" s="1065"/>
      <c r="H19" s="1065"/>
      <c r="I19" s="437"/>
      <c r="J19" s="437"/>
      <c r="K19" s="9"/>
      <c r="L19" s="437"/>
      <c r="M19" s="440"/>
      <c r="N19" s="440"/>
      <c r="O19" s="440"/>
      <c r="P19" s="440"/>
      <c r="Q19" s="440"/>
      <c r="R19" s="440"/>
      <c r="S19" s="437"/>
    </row>
    <row r="20" spans="1:26" ht="15" customHeight="1" x14ac:dyDescent="0.3">
      <c r="A20" s="327"/>
      <c r="B20" s="8"/>
      <c r="C20" s="869" t="s">
        <v>201</v>
      </c>
      <c r="D20" s="869"/>
      <c r="E20" s="327"/>
      <c r="F20" s="1063" t="s">
        <v>347</v>
      </c>
      <c r="G20" s="1063"/>
      <c r="H20" s="1063"/>
      <c r="I20" s="327"/>
      <c r="J20" s="327"/>
      <c r="K20" s="9"/>
      <c r="L20" s="327"/>
      <c r="M20" s="1060"/>
      <c r="N20" s="1060"/>
      <c r="O20" s="1060"/>
      <c r="P20" s="1060"/>
      <c r="Q20" s="1060"/>
      <c r="R20" s="1060"/>
      <c r="S20" s="327"/>
      <c r="W20" s="22" t="s">
        <v>276</v>
      </c>
    </row>
    <row r="21" spans="1:26" s="23" customFormat="1" ht="15" customHeight="1" x14ac:dyDescent="0.3">
      <c r="A21" s="26"/>
      <c r="B21" s="31"/>
      <c r="C21" s="869"/>
      <c r="D21" s="869"/>
      <c r="E21" s="19"/>
      <c r="F21" s="1063"/>
      <c r="G21" s="1063"/>
      <c r="H21" s="1063"/>
      <c r="I21" s="26"/>
      <c r="J21" s="26"/>
      <c r="K21" s="51"/>
      <c r="L21" s="26"/>
      <c r="M21" s="1060"/>
      <c r="N21" s="1060"/>
      <c r="O21" s="1060"/>
      <c r="P21" s="1060"/>
      <c r="Q21" s="1060"/>
      <c r="R21" s="1060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327"/>
      <c r="B22" s="8"/>
      <c r="C22" s="869" t="s">
        <v>224</v>
      </c>
      <c r="D22" s="869"/>
      <c r="E22" s="19"/>
      <c r="F22" s="1063" t="s">
        <v>213</v>
      </c>
      <c r="G22" s="1063"/>
      <c r="H22" s="1063"/>
      <c r="I22" s="327"/>
      <c r="J22" s="327"/>
      <c r="K22" s="9"/>
      <c r="L22" s="327"/>
      <c r="M22" s="46"/>
      <c r="N22" s="46"/>
      <c r="O22" s="46"/>
      <c r="P22" s="46"/>
      <c r="Q22" s="46"/>
      <c r="R22" s="46"/>
      <c r="S22" s="327"/>
    </row>
    <row r="23" spans="1:26" ht="15" customHeight="1" x14ac:dyDescent="0.3">
      <c r="A23" s="327"/>
      <c r="B23" s="8"/>
      <c r="C23" s="869"/>
      <c r="D23" s="869"/>
      <c r="E23" s="327"/>
      <c r="F23" s="1063"/>
      <c r="G23" s="1063"/>
      <c r="H23" s="1063"/>
      <c r="I23" s="19"/>
      <c r="J23" s="19"/>
      <c r="K23" s="45"/>
      <c r="L23" s="327"/>
      <c r="M23" s="50"/>
      <c r="N23" s="48"/>
      <c r="O23" s="48"/>
      <c r="P23" s="48"/>
      <c r="Q23" s="48"/>
      <c r="R23" s="48"/>
      <c r="S23" s="327"/>
    </row>
    <row r="24" spans="1:26" ht="15" customHeight="1" x14ac:dyDescent="0.3">
      <c r="A24" s="327"/>
      <c r="B24" s="8"/>
      <c r="C24" s="869" t="s">
        <v>204</v>
      </c>
      <c r="D24" s="869"/>
      <c r="E24" s="19"/>
      <c r="F24" s="1063" t="s">
        <v>348</v>
      </c>
      <c r="G24" s="1063"/>
      <c r="H24" s="1063"/>
      <c r="I24" s="19"/>
      <c r="J24" s="19"/>
      <c r="K24" s="45"/>
      <c r="L24" s="327"/>
      <c r="M24" s="54"/>
      <c r="N24" s="49"/>
      <c r="O24" s="49"/>
      <c r="P24" s="49"/>
      <c r="Q24" s="48"/>
      <c r="R24" s="48"/>
      <c r="S24" s="327"/>
    </row>
    <row r="25" spans="1:26" ht="15" customHeight="1" x14ac:dyDescent="0.3">
      <c r="A25" s="26"/>
      <c r="B25" s="8"/>
      <c r="C25" s="869"/>
      <c r="D25" s="869"/>
      <c r="E25" s="327"/>
      <c r="F25" s="1063"/>
      <c r="G25" s="1063"/>
      <c r="H25" s="1063"/>
      <c r="I25" s="19"/>
      <c r="J25" s="19"/>
      <c r="K25" s="45"/>
      <c r="L25" s="327"/>
      <c r="M25" s="904" t="e">
        <f>IF(H16="","","Maintenance should be informed")</f>
        <v>#N/A</v>
      </c>
      <c r="N25" s="904"/>
      <c r="O25" s="904"/>
      <c r="P25" s="904"/>
      <c r="Q25" s="48"/>
      <c r="R25" s="48"/>
      <c r="S25" s="327"/>
    </row>
    <row r="26" spans="1:26" ht="15" customHeight="1" x14ac:dyDescent="0.3">
      <c r="A26" s="327"/>
      <c r="B26" s="8"/>
      <c r="C26" s="869" t="s">
        <v>205</v>
      </c>
      <c r="D26" s="869"/>
      <c r="E26" s="19"/>
      <c r="F26" s="1063" t="s">
        <v>205</v>
      </c>
      <c r="G26" s="1063"/>
      <c r="H26" s="1063"/>
      <c r="I26" s="19"/>
      <c r="J26" s="19"/>
      <c r="K26" s="45"/>
      <c r="L26" s="327"/>
      <c r="M26" s="904"/>
      <c r="N26" s="904"/>
      <c r="O26" s="904"/>
      <c r="P26" s="904"/>
      <c r="Q26" s="48"/>
      <c r="R26" s="327"/>
      <c r="S26" s="327"/>
    </row>
    <row r="27" spans="1:26" ht="15" customHeight="1" thickBot="1" x14ac:dyDescent="0.35">
      <c r="A27" s="327"/>
      <c r="B27" s="10"/>
      <c r="C27" s="1066"/>
      <c r="D27" s="1066"/>
      <c r="E27" s="11"/>
      <c r="F27" s="1064"/>
      <c r="G27" s="1064"/>
      <c r="H27" s="1064"/>
      <c r="I27" s="11"/>
      <c r="J27" s="11"/>
      <c r="K27" s="12"/>
      <c r="L27" s="327"/>
      <c r="M27" s="904"/>
      <c r="N27" s="904"/>
      <c r="O27" s="904"/>
      <c r="P27" s="904"/>
      <c r="Q27" s="48"/>
      <c r="R27" s="327"/>
      <c r="S27" s="327"/>
    </row>
    <row r="28" spans="1:26" ht="15" customHeight="1" thickTop="1" thickBot="1" x14ac:dyDescent="0.35">
      <c r="A28" s="327"/>
      <c r="B28" s="327"/>
      <c r="C28" s="327"/>
      <c r="D28" s="327"/>
      <c r="E28" s="327"/>
      <c r="F28" s="327"/>
      <c r="G28" s="327"/>
      <c r="H28" s="327"/>
      <c r="I28" s="327"/>
      <c r="J28" s="327"/>
      <c r="K28" s="327"/>
      <c r="L28" s="327"/>
      <c r="M28" s="327"/>
      <c r="N28" s="327"/>
      <c r="O28" s="327"/>
      <c r="P28" s="327"/>
      <c r="Q28" s="327"/>
      <c r="R28" s="327"/>
      <c r="S28" s="327"/>
    </row>
    <row r="29" spans="1:26" ht="15" customHeight="1" thickTop="1" x14ac:dyDescent="0.3">
      <c r="A29" s="32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7"/>
    </row>
    <row r="30" spans="1:26" x14ac:dyDescent="0.3">
      <c r="A30" s="32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32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32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3">
      <c r="A33" s="327"/>
      <c r="B33" s="16"/>
      <c r="C33" s="16" t="s">
        <v>349</v>
      </c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3">
      <c r="A35" s="16"/>
      <c r="B35" s="16"/>
      <c r="C35" s="16" t="s">
        <v>206</v>
      </c>
      <c r="D35" s="16"/>
      <c r="E35" s="16" t="s">
        <v>209</v>
      </c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19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19" x14ac:dyDescent="0.3">
      <c r="A37" s="16"/>
      <c r="B37" s="16"/>
      <c r="C37" s="16" t="s">
        <v>201</v>
      </c>
      <c r="D37" s="16"/>
      <c r="E37" s="16" t="s">
        <v>210</v>
      </c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19" x14ac:dyDescent="0.3">
      <c r="A38" s="16"/>
      <c r="B38" s="16"/>
      <c r="C38" s="16" t="s">
        <v>207</v>
      </c>
      <c r="D38" s="16"/>
      <c r="E38" s="16" t="s">
        <v>211</v>
      </c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19" x14ac:dyDescent="0.3">
      <c r="A39" s="16"/>
      <c r="B39" s="16"/>
      <c r="C39" s="16" t="s">
        <v>208</v>
      </c>
      <c r="D39" s="16"/>
      <c r="E39" s="16" t="s">
        <v>212</v>
      </c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19" x14ac:dyDescent="0.3">
      <c r="A40" s="1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19" x14ac:dyDescent="0.3">
      <c r="A41" s="1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19" x14ac:dyDescent="0.3">
      <c r="A42" s="16"/>
    </row>
    <row r="43" spans="1:19" x14ac:dyDescent="0.3">
      <c r="A43" s="16"/>
      <c r="C43" s="351" t="s">
        <v>214</v>
      </c>
    </row>
    <row r="44" spans="1:19" x14ac:dyDescent="0.3">
      <c r="A44" s="16"/>
    </row>
    <row r="45" spans="1:19" x14ac:dyDescent="0.3">
      <c r="A45" s="16"/>
      <c r="C45" s="16" t="s">
        <v>350</v>
      </c>
      <c r="D45" s="16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</row>
    <row r="46" spans="1:19" x14ac:dyDescent="0.3">
      <c r="C46" s="16"/>
      <c r="D46" s="16" t="s">
        <v>206</v>
      </c>
      <c r="E46" s="16"/>
      <c r="F46" s="16" t="s">
        <v>218</v>
      </c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</row>
    <row r="47" spans="1:19" x14ac:dyDescent="0.3">
      <c r="C47" s="16"/>
      <c r="D47" s="16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</row>
    <row r="48" spans="1:19" x14ac:dyDescent="0.3">
      <c r="C48" s="16"/>
      <c r="D48" s="16" t="s">
        <v>215</v>
      </c>
      <c r="E48" s="16"/>
      <c r="F48" s="16" t="s">
        <v>219</v>
      </c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</row>
    <row r="49" spans="3:17" x14ac:dyDescent="0.3">
      <c r="C49" s="16"/>
      <c r="D49" s="16" t="s">
        <v>216</v>
      </c>
      <c r="E49" s="16"/>
      <c r="F49" s="16" t="s">
        <v>221</v>
      </c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</row>
    <row r="50" spans="3:17" x14ac:dyDescent="0.3">
      <c r="C50" s="16"/>
      <c r="D50" s="16" t="s">
        <v>217</v>
      </c>
      <c r="E50" s="16"/>
      <c r="F50" s="16" t="s">
        <v>220</v>
      </c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</row>
    <row r="51" spans="3:17" x14ac:dyDescent="0.3">
      <c r="C51" s="16"/>
      <c r="D51" s="16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</row>
    <row r="52" spans="3:17" x14ac:dyDescent="0.3">
      <c r="C52" s="16"/>
      <c r="D52" s="16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</row>
  </sheetData>
  <mergeCells count="31">
    <mergeCell ref="C5:E6"/>
    <mergeCell ref="K5:M6"/>
    <mergeCell ref="N5:O6"/>
    <mergeCell ref="K8:M9"/>
    <mergeCell ref="N8:O9"/>
    <mergeCell ref="C26:D27"/>
    <mergeCell ref="C24:D25"/>
    <mergeCell ref="C13:E14"/>
    <mergeCell ref="H13:H14"/>
    <mergeCell ref="C16:E17"/>
    <mergeCell ref="F16:G17"/>
    <mergeCell ref="F13:F14"/>
    <mergeCell ref="G13:G14"/>
    <mergeCell ref="C19:E19"/>
    <mergeCell ref="C22:D23"/>
    <mergeCell ref="C20:D21"/>
    <mergeCell ref="M25:P27"/>
    <mergeCell ref="G5:J6"/>
    <mergeCell ref="M13:R14"/>
    <mergeCell ref="M15:R16"/>
    <mergeCell ref="M17:R18"/>
    <mergeCell ref="M20:R21"/>
    <mergeCell ref="I13:I14"/>
    <mergeCell ref="J13:J14"/>
    <mergeCell ref="K13:K14"/>
    <mergeCell ref="P8:P9"/>
    <mergeCell ref="F26:H27"/>
    <mergeCell ref="F19:H19"/>
    <mergeCell ref="F20:H21"/>
    <mergeCell ref="F22:H23"/>
    <mergeCell ref="F24:H25"/>
  </mergeCells>
  <dataValidations count="1">
    <dataValidation type="list" allowBlank="1" showInputMessage="1" showErrorMessage="1" promptTitle="Select a value " sqref="F16" xr:uid="{ACBCF312-5CA6-4805-A4D0-D508567060C9}">
      <formula1>emissivity</formula1>
    </dataValidation>
  </dataValidations>
  <hyperlinks>
    <hyperlink ref="C43" r:id="rId1" xr:uid="{751B190D-7330-4C8C-80E3-C4069AC1C659}"/>
  </hyperlinks>
  <pageMargins left="0.7" right="0.7" top="0.75" bottom="0.75" header="0.3" footer="0.3"/>
  <pageSetup orientation="portrait" r:id="rId2"/>
  <drawing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65D74815-8565-4817-B9E5-25A6D8D23095}">
          <x14:formula1>
            <xm:f>'Default values '!$C$2:$C$10</xm:f>
          </x14:formula1>
          <xm:sqref>N5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E9BB95-8B05-4B6C-875D-EFD172EE3D0F}">
  <dimension ref="B2:AA28"/>
  <sheetViews>
    <sheetView zoomScale="70" zoomScaleNormal="70" workbookViewId="0">
      <selection activeCell="AB16" sqref="AB16"/>
    </sheetView>
  </sheetViews>
  <sheetFormatPr defaultRowHeight="14.4" x14ac:dyDescent="0.3"/>
  <cols>
    <col min="1" max="1" width="4.5546875" style="16" customWidth="1"/>
    <col min="2" max="2" width="4" style="16" customWidth="1"/>
    <col min="3" max="3" width="8.88671875" style="16"/>
    <col min="4" max="4" width="8" style="16" customWidth="1"/>
    <col min="5" max="5" width="10.77734375" style="16" customWidth="1"/>
    <col min="6" max="6" width="8.6640625" style="16" customWidth="1"/>
    <col min="7" max="7" width="11.5546875" style="16" customWidth="1"/>
    <col min="8" max="8" width="12.6640625" style="16" customWidth="1"/>
    <col min="9" max="9" width="7.77734375" style="16" customWidth="1"/>
    <col min="10" max="10" width="2.109375" style="16" customWidth="1"/>
    <col min="11" max="11" width="14.5546875" style="16" customWidth="1"/>
    <col min="12" max="12" width="2.109375" style="16" customWidth="1"/>
    <col min="13" max="13" width="14.5546875" style="16" customWidth="1"/>
    <col min="14" max="14" width="2.33203125" style="16" customWidth="1"/>
    <col min="15" max="15" width="14.5546875" style="16" customWidth="1"/>
    <col min="16" max="16" width="2.5546875" style="16" customWidth="1"/>
    <col min="17" max="17" width="13.44140625" style="16" customWidth="1"/>
    <col min="18" max="18" width="2.21875" style="16" customWidth="1"/>
    <col min="19" max="19" width="4.21875" style="16" customWidth="1"/>
    <col min="20" max="20" width="5.109375" style="16" customWidth="1"/>
    <col min="21" max="21" width="5.44140625" style="16" customWidth="1"/>
    <col min="22" max="22" width="3.88671875" style="16" customWidth="1"/>
    <col min="23" max="23" width="1.44140625" style="16" customWidth="1"/>
    <col min="24" max="24" width="8.88671875" style="16"/>
    <col min="25" max="25" width="7.5546875" style="16" customWidth="1"/>
    <col min="26" max="16384" width="8.88671875" style="16"/>
  </cols>
  <sheetData>
    <row r="2" spans="2:27" x14ac:dyDescent="0.3">
      <c r="C2" s="636" t="s">
        <v>237</v>
      </c>
      <c r="D2" s="374"/>
      <c r="E2" s="636" t="s">
        <v>357</v>
      </c>
      <c r="F2" s="636"/>
      <c r="G2" s="374"/>
      <c r="H2" s="374"/>
      <c r="I2" s="374"/>
      <c r="J2" s="711"/>
      <c r="K2" s="711"/>
      <c r="L2" s="711"/>
      <c r="M2" s="711"/>
      <c r="N2" s="711"/>
      <c r="O2" s="711"/>
      <c r="P2" s="711"/>
      <c r="Q2" s="711"/>
      <c r="R2" s="711"/>
      <c r="S2" s="711"/>
      <c r="T2" s="711"/>
      <c r="U2" s="711"/>
      <c r="V2" s="711"/>
      <c r="W2" s="711"/>
      <c r="X2" s="95"/>
    </row>
    <row r="3" spans="2:27" x14ac:dyDescent="0.3">
      <c r="C3" s="636"/>
      <c r="D3" s="40"/>
      <c r="E3" s="40"/>
      <c r="F3" s="40"/>
      <c r="G3" s="636"/>
      <c r="H3" s="42"/>
      <c r="I3" s="42"/>
      <c r="X3" s="36"/>
    </row>
    <row r="4" spans="2:27" ht="6" customHeight="1" thickBot="1" x14ac:dyDescent="0.35"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9"/>
    </row>
    <row r="5" spans="2:27" ht="18.600000000000001" thickTop="1" x14ac:dyDescent="0.35">
      <c r="B5" s="378"/>
      <c r="C5" s="378"/>
      <c r="D5" s="378"/>
    </row>
    <row r="6" spans="2:27" ht="15.6" customHeight="1" x14ac:dyDescent="0.35">
      <c r="B6" s="378"/>
      <c r="C6" s="378"/>
      <c r="D6" s="378"/>
      <c r="E6" s="712" t="s">
        <v>353</v>
      </c>
      <c r="F6" s="712"/>
      <c r="G6" s="712"/>
      <c r="H6" s="712"/>
      <c r="I6" s="712"/>
      <c r="J6" s="474"/>
      <c r="K6" s="760" t="s">
        <v>302</v>
      </c>
      <c r="L6" s="476"/>
      <c r="M6" s="761" t="s">
        <v>303</v>
      </c>
      <c r="O6" s="762" t="s">
        <v>205</v>
      </c>
      <c r="P6" s="643"/>
      <c r="Q6" s="644" t="s">
        <v>240</v>
      </c>
      <c r="S6" s="737" t="s">
        <v>496</v>
      </c>
      <c r="T6" s="737"/>
      <c r="U6" s="737"/>
      <c r="V6" s="737"/>
    </row>
    <row r="7" spans="2:27" ht="55.2" customHeight="1" x14ac:dyDescent="0.3">
      <c r="B7" s="713" t="s">
        <v>16</v>
      </c>
      <c r="C7" s="713"/>
      <c r="D7" s="713"/>
      <c r="E7" s="744" t="s">
        <v>504</v>
      </c>
      <c r="F7" s="744"/>
      <c r="G7" s="746" t="s">
        <v>500</v>
      </c>
      <c r="H7" s="746"/>
      <c r="I7" s="746"/>
      <c r="K7" s="760"/>
      <c r="M7" s="761"/>
      <c r="O7" s="762"/>
      <c r="Q7" s="742" t="s">
        <v>499</v>
      </c>
      <c r="S7" s="738" t="s">
        <v>239</v>
      </c>
      <c r="T7" s="738" t="s">
        <v>456</v>
      </c>
      <c r="U7" s="738" t="s">
        <v>360</v>
      </c>
      <c r="V7" s="738" t="s">
        <v>451</v>
      </c>
      <c r="X7" s="634"/>
    </row>
    <row r="8" spans="2:27" s="640" customFormat="1" ht="16.8" customHeight="1" thickBot="1" x14ac:dyDescent="0.35">
      <c r="B8" s="714"/>
      <c r="C8" s="714"/>
      <c r="D8" s="714"/>
      <c r="E8" s="745"/>
      <c r="F8" s="745"/>
      <c r="G8" s="747"/>
      <c r="H8" s="747"/>
      <c r="I8" s="747"/>
      <c r="J8" s="470"/>
      <c r="K8" s="470"/>
      <c r="L8" s="470"/>
      <c r="M8" s="470"/>
      <c r="N8" s="470"/>
      <c r="O8" s="470"/>
      <c r="P8" s="470"/>
      <c r="Q8" s="743"/>
      <c r="R8" s="462"/>
      <c r="S8" s="739"/>
      <c r="T8" s="739"/>
      <c r="U8" s="739" t="s">
        <v>360</v>
      </c>
      <c r="V8" s="739"/>
      <c r="W8" s="462"/>
      <c r="X8" s="635"/>
      <c r="Y8" s="671"/>
      <c r="AA8" s="633"/>
    </row>
    <row r="9" spans="2:27" s="640" customFormat="1" ht="23.4" customHeight="1" x14ac:dyDescent="0.3">
      <c r="B9" s="707" t="s">
        <v>492</v>
      </c>
      <c r="C9" s="709" t="s">
        <v>513</v>
      </c>
      <c r="D9" s="709"/>
      <c r="E9" s="675">
        <f>Surface!O14</f>
        <v>868928.58682477032</v>
      </c>
      <c r="F9" s="676" t="s">
        <v>71</v>
      </c>
      <c r="G9" s="652">
        <f>Surface!O18</f>
        <v>690760.10945807467</v>
      </c>
      <c r="H9" s="653">
        <f>Surface!P18</f>
        <v>827283.11690156581</v>
      </c>
      <c r="I9" s="654" t="s">
        <v>71</v>
      </c>
      <c r="J9" s="471"/>
      <c r="K9" s="683" t="s">
        <v>512</v>
      </c>
      <c r="L9" s="471"/>
      <c r="M9" s="645" t="s">
        <v>511</v>
      </c>
      <c r="N9" s="471"/>
      <c r="O9" s="646"/>
      <c r="P9" s="647"/>
      <c r="Q9" s="748" t="s">
        <v>356</v>
      </c>
      <c r="R9" s="459"/>
      <c r="S9" s="724" t="s">
        <v>497</v>
      </c>
      <c r="T9" s="732">
        <v>60</v>
      </c>
      <c r="U9" s="732" t="s">
        <v>510</v>
      </c>
      <c r="V9" s="732"/>
      <c r="W9" s="459"/>
      <c r="X9" s="43"/>
      <c r="Y9" s="22"/>
      <c r="AA9" s="633"/>
    </row>
    <row r="10" spans="2:27" s="640" customFormat="1" ht="23.4" customHeight="1" thickBot="1" x14ac:dyDescent="0.35">
      <c r="B10" s="708"/>
      <c r="C10" s="710"/>
      <c r="D10" s="710"/>
      <c r="E10" s="677">
        <f>Surface!O16</f>
        <v>43446.429341238516</v>
      </c>
      <c r="F10" s="678" t="s">
        <v>24</v>
      </c>
      <c r="G10" s="651">
        <f>Surface!O20</f>
        <v>34538.005472903737</v>
      </c>
      <c r="H10" s="642">
        <f>Surface!P20</f>
        <v>41364.15584507829</v>
      </c>
      <c r="I10" s="491" t="s">
        <v>24</v>
      </c>
      <c r="J10" s="481"/>
      <c r="K10" s="684"/>
      <c r="L10" s="481"/>
      <c r="M10" s="648"/>
      <c r="N10" s="481"/>
      <c r="O10" s="649"/>
      <c r="P10" s="650"/>
      <c r="Q10" s="749"/>
      <c r="R10" s="481"/>
      <c r="S10" s="725"/>
      <c r="T10" s="729"/>
      <c r="U10" s="729"/>
      <c r="V10" s="729"/>
      <c r="W10" s="481"/>
      <c r="X10" s="485"/>
      <c r="Y10" s="486"/>
      <c r="AA10" s="633"/>
    </row>
    <row r="11" spans="2:27" s="22" customFormat="1" ht="24" customHeight="1" thickTop="1" x14ac:dyDescent="0.3">
      <c r="B11" s="718" t="s">
        <v>493</v>
      </c>
      <c r="C11" s="719" t="s">
        <v>514</v>
      </c>
      <c r="D11" s="719"/>
      <c r="E11" s="675">
        <f>Flange!O14</f>
        <v>27663.339823436028</v>
      </c>
      <c r="F11" s="676" t="s">
        <v>71</v>
      </c>
      <c r="G11" s="652">
        <f>Flange!O18</f>
        <v>23111.769013089779</v>
      </c>
      <c r="H11" s="653">
        <f>Flange!P18</f>
        <v>26380.996790053694</v>
      </c>
      <c r="I11" s="655" t="s">
        <v>71</v>
      </c>
      <c r="J11" s="471"/>
      <c r="K11" s="751" t="s">
        <v>355</v>
      </c>
      <c r="L11" s="471"/>
      <c r="M11" s="752" t="s">
        <v>366</v>
      </c>
      <c r="N11" s="471"/>
      <c r="O11" s="510"/>
      <c r="P11" s="471"/>
      <c r="Q11" s="748" t="s">
        <v>356</v>
      </c>
      <c r="R11" s="459"/>
      <c r="S11" s="724" t="s">
        <v>498</v>
      </c>
      <c r="T11" s="732">
        <v>120</v>
      </c>
      <c r="U11" s="733" t="s">
        <v>361</v>
      </c>
      <c r="V11" s="728">
        <v>6</v>
      </c>
      <c r="W11" s="459"/>
      <c r="X11" s="43"/>
    </row>
    <row r="12" spans="2:27" s="22" customFormat="1" ht="24" customHeight="1" thickBot="1" x14ac:dyDescent="0.35">
      <c r="B12" s="708"/>
      <c r="C12" s="710"/>
      <c r="D12" s="710"/>
      <c r="E12" s="677">
        <f>Flange!O16</f>
        <v>1383.1669911718016</v>
      </c>
      <c r="F12" s="678" t="s">
        <v>24</v>
      </c>
      <c r="G12" s="651">
        <f>Flange!O20</f>
        <v>1155.588450654489</v>
      </c>
      <c r="H12" s="642">
        <f>Flange!P20</f>
        <v>1319.0498395026848</v>
      </c>
      <c r="I12" s="491" t="s">
        <v>24</v>
      </c>
      <c r="J12" s="481"/>
      <c r="K12" s="717"/>
      <c r="L12" s="481"/>
      <c r="M12" s="753"/>
      <c r="N12" s="481"/>
      <c r="O12" s="511"/>
      <c r="P12" s="481"/>
      <c r="Q12" s="749"/>
      <c r="R12" s="481"/>
      <c r="S12" s="725"/>
      <c r="T12" s="729"/>
      <c r="U12" s="731"/>
      <c r="V12" s="729"/>
      <c r="W12" s="481"/>
      <c r="X12" s="485"/>
      <c r="Y12" s="486"/>
    </row>
    <row r="13" spans="2:27" ht="24" customHeight="1" thickTop="1" x14ac:dyDescent="0.3">
      <c r="B13" s="707" t="s">
        <v>494</v>
      </c>
      <c r="C13" s="715" t="str">
        <f>Valve!G5</f>
        <v>Valve 20456</v>
      </c>
      <c r="D13" s="715"/>
      <c r="E13" s="675">
        <f>Valve!O14</f>
        <v>28012.473579065423</v>
      </c>
      <c r="F13" s="676" t="s">
        <v>71</v>
      </c>
      <c r="G13" s="652">
        <f>Valve!O18</f>
        <v>25399.40359747169</v>
      </c>
      <c r="H13" s="653">
        <f>Valve!P18</f>
        <v>27136.53622785299</v>
      </c>
      <c r="I13" s="656" t="s">
        <v>71</v>
      </c>
      <c r="J13" s="495"/>
      <c r="K13" s="716" t="s">
        <v>355</v>
      </c>
      <c r="L13" s="495"/>
      <c r="M13" s="507"/>
      <c r="N13" s="495"/>
      <c r="O13" s="512"/>
      <c r="P13" s="495"/>
      <c r="Q13" s="750" t="s">
        <v>356</v>
      </c>
      <c r="R13" s="496"/>
      <c r="S13" s="724" t="s">
        <v>498</v>
      </c>
      <c r="T13" s="732">
        <v>120</v>
      </c>
      <c r="U13" s="730" t="s">
        <v>361</v>
      </c>
      <c r="V13" s="732">
        <f>Valve!AA13</f>
        <v>0</v>
      </c>
      <c r="W13" s="496"/>
      <c r="X13" s="500"/>
      <c r="Y13" s="500"/>
    </row>
    <row r="14" spans="2:27" ht="24" customHeight="1" thickBot="1" x14ac:dyDescent="0.35">
      <c r="B14" s="708"/>
      <c r="C14" s="710"/>
      <c r="D14" s="710"/>
      <c r="E14" s="677">
        <f>Valve!O16</f>
        <v>1400.6236789532713</v>
      </c>
      <c r="F14" s="678" t="s">
        <v>24</v>
      </c>
      <c r="G14" s="651">
        <f>Valve!O20</f>
        <v>1269.9701798735848</v>
      </c>
      <c r="H14" s="642">
        <f>Valve!P20</f>
        <v>1356.8268113926497</v>
      </c>
      <c r="I14" s="491" t="s">
        <v>24</v>
      </c>
      <c r="J14" s="481"/>
      <c r="K14" s="717"/>
      <c r="L14" s="481"/>
      <c r="M14" s="506"/>
      <c r="N14" s="481"/>
      <c r="O14" s="511"/>
      <c r="P14" s="481"/>
      <c r="Q14" s="749"/>
      <c r="R14" s="481"/>
      <c r="S14" s="725"/>
      <c r="T14" s="729"/>
      <c r="U14" s="731"/>
      <c r="V14" s="729"/>
      <c r="W14" s="481"/>
      <c r="X14" s="501"/>
      <c r="Y14" s="501"/>
    </row>
    <row r="15" spans="2:27" ht="24" customHeight="1" thickTop="1" x14ac:dyDescent="0.3">
      <c r="B15" s="707" t="s">
        <v>495</v>
      </c>
      <c r="C15" s="715" t="s">
        <v>509</v>
      </c>
      <c r="D15" s="715"/>
      <c r="E15" s="672">
        <f>Pipe!O14</f>
        <v>1750.7283385631929</v>
      </c>
      <c r="F15" s="673" t="s">
        <v>501</v>
      </c>
      <c r="G15" s="658">
        <f>Pipe!O18</f>
        <v>1180.0042951967296</v>
      </c>
      <c r="H15" s="657">
        <f>Pipe!P18</f>
        <v>1558.2779287475862</v>
      </c>
      <c r="I15" s="659" t="s">
        <v>501</v>
      </c>
      <c r="J15" s="495"/>
      <c r="K15" s="683" t="s">
        <v>355</v>
      </c>
      <c r="L15" s="495"/>
      <c r="M15" s="507"/>
      <c r="N15" s="495"/>
      <c r="O15" s="512"/>
      <c r="P15" s="495"/>
      <c r="Q15" s="740" t="s">
        <v>503</v>
      </c>
      <c r="R15" s="496"/>
      <c r="S15" s="724" t="s">
        <v>498</v>
      </c>
      <c r="T15" s="736">
        <v>120</v>
      </c>
      <c r="U15" s="730" t="s">
        <v>361</v>
      </c>
      <c r="V15" s="732"/>
      <c r="W15" s="496"/>
      <c r="X15" s="500"/>
      <c r="Y15" s="500"/>
    </row>
    <row r="16" spans="2:27" ht="24" customHeight="1" thickBot="1" x14ac:dyDescent="0.35">
      <c r="B16" s="708"/>
      <c r="C16" s="710"/>
      <c r="D16" s="710"/>
      <c r="E16" s="660">
        <f>Pipe!O16</f>
        <v>87.536416928159653</v>
      </c>
      <c r="F16" s="661" t="s">
        <v>502</v>
      </c>
      <c r="G16" s="662">
        <f>Pipe!O20</f>
        <v>59.000214759836481</v>
      </c>
      <c r="H16" s="660">
        <f>Pipe!P20</f>
        <v>77.913896437379321</v>
      </c>
      <c r="I16" s="661" t="s">
        <v>502</v>
      </c>
      <c r="J16" s="481"/>
      <c r="K16" s="684" t="s">
        <v>342</v>
      </c>
      <c r="L16" s="481"/>
      <c r="M16" s="506"/>
      <c r="N16" s="481"/>
      <c r="O16" s="511"/>
      <c r="P16" s="481"/>
      <c r="Q16" s="741"/>
      <c r="R16" s="481"/>
      <c r="S16" s="725"/>
      <c r="T16" s="729"/>
      <c r="U16" s="731"/>
      <c r="V16" s="729"/>
      <c r="W16" s="481"/>
      <c r="X16" s="501"/>
      <c r="Y16" s="501"/>
    </row>
    <row r="17" spans="2:25" ht="22.2" customHeight="1" thickTop="1" x14ac:dyDescent="0.3">
      <c r="C17" s="770"/>
      <c r="D17" s="770"/>
      <c r="E17" s="770"/>
      <c r="F17" s="639"/>
      <c r="G17" s="516"/>
      <c r="H17" s="641"/>
      <c r="I17" s="57"/>
      <c r="J17" s="56"/>
      <c r="K17" s="56"/>
      <c r="L17" s="56"/>
      <c r="M17" s="56"/>
      <c r="N17" s="56"/>
      <c r="O17" s="56"/>
      <c r="P17" s="56"/>
      <c r="Q17" s="56"/>
      <c r="R17" s="56"/>
      <c r="S17" s="56"/>
      <c r="T17" s="56"/>
      <c r="U17" s="56"/>
      <c r="V17" s="56"/>
      <c r="W17" s="56"/>
    </row>
    <row r="18" spans="2:25" ht="10.199999999999999" customHeight="1" thickBot="1" x14ac:dyDescent="0.35">
      <c r="C18" s="639"/>
      <c r="D18" s="639"/>
      <c r="E18" s="639"/>
      <c r="F18" s="639"/>
      <c r="G18" s="639"/>
      <c r="H18" s="55"/>
      <c r="I18" s="55"/>
      <c r="J18" s="59"/>
      <c r="K18" s="59"/>
      <c r="L18" s="59"/>
      <c r="M18" s="59"/>
      <c r="N18" s="59"/>
      <c r="O18" s="59"/>
      <c r="P18" s="59"/>
      <c r="Q18" s="59"/>
      <c r="R18" s="59"/>
      <c r="S18" s="59"/>
      <c r="T18" s="59"/>
      <c r="U18" s="59"/>
      <c r="V18" s="59"/>
      <c r="W18" s="59"/>
    </row>
    <row r="19" spans="2:25" ht="22.2" customHeight="1" thickTop="1" x14ac:dyDescent="0.3">
      <c r="C19" s="754" t="s">
        <v>505</v>
      </c>
      <c r="D19" s="755"/>
      <c r="E19" s="755"/>
      <c r="F19" s="755"/>
      <c r="G19" s="685"/>
      <c r="H19" s="763">
        <f>E11+E9+E13</f>
        <v>924604.40022727172</v>
      </c>
      <c r="I19" s="764" t="s">
        <v>71</v>
      </c>
      <c r="J19" s="765"/>
      <c r="K19" s="668"/>
      <c r="L19" s="776" t="s">
        <v>507</v>
      </c>
      <c r="M19" s="777"/>
      <c r="N19" s="777"/>
      <c r="O19" s="777"/>
      <c r="P19" s="777"/>
      <c r="Q19" s="777"/>
      <c r="R19" s="669"/>
      <c r="S19" s="726">
        <f>G9+G11+G13</f>
        <v>739271.28206863615</v>
      </c>
      <c r="T19" s="726"/>
      <c r="U19" s="726"/>
      <c r="V19" s="734">
        <f>H9+H11+H13</f>
        <v>880800.64991947252</v>
      </c>
      <c r="W19" s="734"/>
      <c r="X19" s="734"/>
      <c r="Y19" s="773" t="s">
        <v>71</v>
      </c>
    </row>
    <row r="20" spans="2:25" ht="22.2" customHeight="1" x14ac:dyDescent="0.3">
      <c r="C20" s="756"/>
      <c r="D20" s="757"/>
      <c r="E20" s="757"/>
      <c r="F20" s="757"/>
      <c r="G20" s="674"/>
      <c r="H20" s="722"/>
      <c r="I20" s="766"/>
      <c r="J20" s="767"/>
      <c r="K20" s="668"/>
      <c r="L20" s="778"/>
      <c r="M20" s="779"/>
      <c r="N20" s="779"/>
      <c r="O20" s="779"/>
      <c r="P20" s="779"/>
      <c r="Q20" s="779"/>
      <c r="R20" s="666"/>
      <c r="S20" s="727"/>
      <c r="T20" s="727"/>
      <c r="U20" s="727"/>
      <c r="V20" s="735"/>
      <c r="W20" s="735"/>
      <c r="X20" s="735"/>
      <c r="Y20" s="774"/>
    </row>
    <row r="21" spans="2:25" ht="22.2" customHeight="1" x14ac:dyDescent="0.3">
      <c r="C21" s="756" t="s">
        <v>506</v>
      </c>
      <c r="D21" s="757"/>
      <c r="E21" s="757"/>
      <c r="F21" s="757"/>
      <c r="G21" s="674"/>
      <c r="H21" s="722">
        <f>E10+E12+E14</f>
        <v>46230.220011363584</v>
      </c>
      <c r="I21" s="766" t="s">
        <v>24</v>
      </c>
      <c r="J21" s="767"/>
      <c r="K21" s="668"/>
      <c r="L21" s="778" t="s">
        <v>508</v>
      </c>
      <c r="M21" s="779"/>
      <c r="N21" s="779"/>
      <c r="O21" s="779"/>
      <c r="P21" s="779"/>
      <c r="Q21" s="779"/>
      <c r="R21" s="666"/>
      <c r="S21" s="727">
        <f>G10+G12+G14</f>
        <v>36963.564103431811</v>
      </c>
      <c r="T21" s="727"/>
      <c r="U21" s="727"/>
      <c r="V21" s="735">
        <f>+H10+H12+H14</f>
        <v>44040.032495973632</v>
      </c>
      <c r="W21" s="735"/>
      <c r="X21" s="735"/>
      <c r="Y21" s="774" t="s">
        <v>24</v>
      </c>
    </row>
    <row r="22" spans="2:25" ht="22.2" customHeight="1" thickBot="1" x14ac:dyDescent="0.35">
      <c r="C22" s="758"/>
      <c r="D22" s="759"/>
      <c r="E22" s="759"/>
      <c r="F22" s="759"/>
      <c r="G22" s="686"/>
      <c r="H22" s="723"/>
      <c r="I22" s="768"/>
      <c r="J22" s="769"/>
      <c r="K22" s="668"/>
      <c r="L22" s="780"/>
      <c r="M22" s="781"/>
      <c r="N22" s="781"/>
      <c r="O22" s="781"/>
      <c r="P22" s="781"/>
      <c r="Q22" s="781"/>
      <c r="R22" s="670"/>
      <c r="S22" s="771"/>
      <c r="T22" s="771"/>
      <c r="U22" s="771"/>
      <c r="V22" s="772"/>
      <c r="W22" s="772"/>
      <c r="X22" s="772"/>
      <c r="Y22" s="775"/>
    </row>
    <row r="23" spans="2:25" ht="13.2" customHeight="1" thickTop="1" x14ac:dyDescent="0.3">
      <c r="C23" s="639"/>
      <c r="D23" s="639"/>
      <c r="E23" s="639"/>
      <c r="F23" s="639"/>
      <c r="G23" s="639"/>
      <c r="H23" s="639"/>
      <c r="I23" s="663"/>
      <c r="J23" s="56"/>
      <c r="K23" s="667"/>
      <c r="L23" s="664"/>
      <c r="M23" s="664"/>
      <c r="N23" s="56"/>
      <c r="O23" s="667"/>
      <c r="P23" s="664"/>
      <c r="Q23" s="664"/>
      <c r="R23" s="59"/>
      <c r="S23" s="59"/>
      <c r="T23" s="59"/>
      <c r="U23" s="59"/>
      <c r="V23" s="59"/>
      <c r="W23" s="59"/>
    </row>
    <row r="24" spans="2:25" ht="37.799999999999997" customHeight="1" x14ac:dyDescent="0.3">
      <c r="B24" s="720"/>
      <c r="C24" s="720"/>
      <c r="D24" s="720"/>
      <c r="E24" s="457"/>
      <c r="F24" s="457"/>
      <c r="G24" s="721"/>
      <c r="H24" s="721"/>
      <c r="I24" s="637"/>
      <c r="X24" s="665"/>
    </row>
    <row r="25" spans="2:25" ht="22.2" customHeight="1" x14ac:dyDescent="0.3">
      <c r="C25" s="638"/>
      <c r="D25" s="638"/>
      <c r="E25" s="638"/>
      <c r="F25" s="638"/>
      <c r="G25" s="450"/>
      <c r="H25" s="58"/>
      <c r="I25" s="58"/>
      <c r="J25" s="59"/>
      <c r="K25" s="59"/>
      <c r="L25" s="59"/>
      <c r="M25" s="59"/>
      <c r="N25" s="59"/>
      <c r="O25" s="59"/>
      <c r="P25" s="59"/>
      <c r="Q25" s="59"/>
      <c r="R25" s="59"/>
      <c r="S25" s="59"/>
      <c r="T25" s="59"/>
      <c r="U25" s="59"/>
      <c r="V25" s="59"/>
      <c r="W25" s="59"/>
    </row>
    <row r="26" spans="2:25" ht="22.2" customHeight="1" x14ac:dyDescent="0.35">
      <c r="B26" s="377"/>
      <c r="C26" s="638"/>
      <c r="D26" s="638"/>
      <c r="E26" s="638"/>
      <c r="F26" s="638"/>
      <c r="G26" s="450"/>
      <c r="H26" s="58"/>
      <c r="I26" s="58"/>
      <c r="J26" s="59"/>
      <c r="K26" s="59"/>
      <c r="L26" s="59"/>
      <c r="M26" s="59"/>
      <c r="N26" s="59"/>
      <c r="O26" s="59"/>
      <c r="P26" s="59"/>
      <c r="Q26" s="59"/>
      <c r="R26" s="59"/>
      <c r="S26" s="59"/>
      <c r="T26" s="59"/>
      <c r="U26" s="59"/>
      <c r="V26" s="59"/>
      <c r="W26" s="59"/>
    </row>
    <row r="27" spans="2:25" ht="22.2" customHeight="1" x14ac:dyDescent="0.3">
      <c r="C27" s="638"/>
      <c r="D27" s="638"/>
      <c r="E27" s="638"/>
      <c r="F27" s="638"/>
      <c r="G27" s="450"/>
      <c r="H27" s="58"/>
      <c r="I27" s="58"/>
      <c r="J27" s="59"/>
      <c r="K27" s="59"/>
      <c r="L27" s="59"/>
      <c r="M27" s="59"/>
      <c r="N27" s="59"/>
      <c r="O27" s="59"/>
      <c r="P27" s="59"/>
      <c r="Q27" s="59"/>
      <c r="R27" s="59"/>
      <c r="S27" s="59"/>
      <c r="T27" s="59"/>
      <c r="U27" s="59"/>
      <c r="V27" s="59"/>
      <c r="W27" s="59"/>
    </row>
    <row r="28" spans="2:25" ht="22.2" customHeight="1" x14ac:dyDescent="0.3">
      <c r="C28" s="638"/>
      <c r="D28" s="638"/>
      <c r="E28" s="638"/>
      <c r="F28" s="638"/>
      <c r="G28" s="450"/>
      <c r="H28" s="58"/>
      <c r="I28" s="58"/>
      <c r="J28" s="59"/>
      <c r="K28" s="59"/>
      <c r="L28" s="59"/>
      <c r="M28" s="59"/>
      <c r="N28" s="59"/>
      <c r="O28" s="59"/>
      <c r="P28" s="59"/>
      <c r="Q28" s="59"/>
      <c r="R28" s="59"/>
      <c r="S28" s="59"/>
      <c r="T28" s="59"/>
      <c r="U28" s="59"/>
      <c r="V28" s="59"/>
      <c r="W28" s="59"/>
    </row>
  </sheetData>
  <mergeCells count="62">
    <mergeCell ref="Y19:Y20"/>
    <mergeCell ref="Y21:Y22"/>
    <mergeCell ref="L19:Q20"/>
    <mergeCell ref="L21:Q22"/>
    <mergeCell ref="I19:J20"/>
    <mergeCell ref="I21:J22"/>
    <mergeCell ref="C17:E17"/>
    <mergeCell ref="S21:U22"/>
    <mergeCell ref="V21:X22"/>
    <mergeCell ref="Q15:Q16"/>
    <mergeCell ref="Q7:Q8"/>
    <mergeCell ref="E7:F8"/>
    <mergeCell ref="G7:I8"/>
    <mergeCell ref="Q9:Q10"/>
    <mergeCell ref="Q11:Q12"/>
    <mergeCell ref="Q13:Q14"/>
    <mergeCell ref="K11:K12"/>
    <mergeCell ref="M11:M12"/>
    <mergeCell ref="K6:K7"/>
    <mergeCell ref="M6:M7"/>
    <mergeCell ref="O6:O7"/>
    <mergeCell ref="S15:S16"/>
    <mergeCell ref="S19:U20"/>
    <mergeCell ref="V11:V12"/>
    <mergeCell ref="U13:U14"/>
    <mergeCell ref="V13:V14"/>
    <mergeCell ref="U15:U16"/>
    <mergeCell ref="V15:V16"/>
    <mergeCell ref="U11:U12"/>
    <mergeCell ref="V19:X20"/>
    <mergeCell ref="T11:T12"/>
    <mergeCell ref="T13:T14"/>
    <mergeCell ref="T15:T16"/>
    <mergeCell ref="S11:S12"/>
    <mergeCell ref="S13:S14"/>
    <mergeCell ref="B24:D24"/>
    <mergeCell ref="G24:H24"/>
    <mergeCell ref="H21:H22"/>
    <mergeCell ref="B15:B16"/>
    <mergeCell ref="C15:D16"/>
    <mergeCell ref="C19:F20"/>
    <mergeCell ref="C21:F22"/>
    <mergeCell ref="H19:H20"/>
    <mergeCell ref="B13:B14"/>
    <mergeCell ref="C13:D14"/>
    <mergeCell ref="K13:K14"/>
    <mergeCell ref="B11:B12"/>
    <mergeCell ref="C11:D12"/>
    <mergeCell ref="B9:B10"/>
    <mergeCell ref="C9:D10"/>
    <mergeCell ref="J2:W2"/>
    <mergeCell ref="E6:I6"/>
    <mergeCell ref="B7:D8"/>
    <mergeCell ref="S6:V6"/>
    <mergeCell ref="S7:S8"/>
    <mergeCell ref="S9:S10"/>
    <mergeCell ref="T7:T8"/>
    <mergeCell ref="U7:U8"/>
    <mergeCell ref="V7:V8"/>
    <mergeCell ref="T9:T10"/>
    <mergeCell ref="U9:U10"/>
    <mergeCell ref="V9:V10"/>
  </mergeCells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0E2B1-6C80-47EB-B712-64271ACA5611}">
  <dimension ref="A1:Y100"/>
  <sheetViews>
    <sheetView topLeftCell="A4" workbookViewId="0">
      <selection activeCell="L25" sqref="L25"/>
    </sheetView>
  </sheetViews>
  <sheetFormatPr defaultRowHeight="14.4" x14ac:dyDescent="0.3"/>
  <cols>
    <col min="1" max="1" width="4" customWidth="1"/>
    <col min="2" max="17" width="7.77734375" customWidth="1"/>
    <col min="18" max="18" width="4.5546875" customWidth="1"/>
    <col min="19" max="25" width="8.88671875" style="2"/>
  </cols>
  <sheetData>
    <row r="1" spans="1:23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3" ht="18" customHeight="1" thickBot="1" x14ac:dyDescent="0.4">
      <c r="A2" s="1"/>
      <c r="B2" s="862"/>
      <c r="C2" s="862"/>
      <c r="D2" s="862"/>
      <c r="E2" s="327"/>
      <c r="F2" s="327"/>
      <c r="G2" s="327"/>
      <c r="H2" s="327"/>
      <c r="I2" s="327"/>
      <c r="J2" s="327"/>
      <c r="K2" s="327"/>
      <c r="L2" s="327"/>
      <c r="M2" s="327"/>
      <c r="N2" s="327"/>
      <c r="O2" s="861"/>
      <c r="P2" s="861"/>
      <c r="Q2" s="3"/>
      <c r="R2" s="3"/>
    </row>
    <row r="3" spans="1:23" ht="13.8" customHeight="1" thickTop="1" thickBot="1" x14ac:dyDescent="0.35">
      <c r="A3" s="1"/>
      <c r="B3" s="5"/>
      <c r="C3" s="111"/>
      <c r="D3" s="6"/>
      <c r="E3" s="6"/>
      <c r="F3" s="6"/>
      <c r="G3" s="6"/>
      <c r="H3" s="6"/>
      <c r="I3" s="6"/>
      <c r="J3" s="6"/>
      <c r="K3" s="6"/>
      <c r="L3" s="111"/>
      <c r="M3" s="6"/>
      <c r="N3" s="6"/>
      <c r="O3" s="6"/>
      <c r="P3" s="6"/>
      <c r="Q3" s="7"/>
      <c r="R3" s="1"/>
    </row>
    <row r="4" spans="1:23" ht="13.8" customHeight="1" thickTop="1" x14ac:dyDescent="0.3">
      <c r="A4" s="1"/>
      <c r="B4" s="8"/>
      <c r="C4" s="838"/>
      <c r="D4" s="839"/>
      <c r="E4" s="327"/>
      <c r="F4" s="838"/>
      <c r="G4" s="839"/>
      <c r="H4" s="327"/>
      <c r="I4" s="838"/>
      <c r="J4" s="839"/>
      <c r="K4" s="327"/>
      <c r="L4" s="838"/>
      <c r="M4" s="839"/>
      <c r="N4" s="327"/>
      <c r="O4" s="838"/>
      <c r="P4" s="839"/>
      <c r="Q4" s="9"/>
      <c r="R4" s="1"/>
    </row>
    <row r="5" spans="1:23" ht="13.8" customHeight="1" thickBot="1" x14ac:dyDescent="0.35">
      <c r="A5" s="1"/>
      <c r="B5" s="8"/>
      <c r="C5" s="840"/>
      <c r="D5" s="841"/>
      <c r="E5" s="327"/>
      <c r="F5" s="840"/>
      <c r="G5" s="841"/>
      <c r="H5" s="15"/>
      <c r="I5" s="840"/>
      <c r="J5" s="841"/>
      <c r="K5" s="327"/>
      <c r="L5" s="840"/>
      <c r="M5" s="841"/>
      <c r="N5" s="327"/>
      <c r="O5" s="840"/>
      <c r="P5" s="841"/>
      <c r="Q5" s="9"/>
      <c r="R5" s="1"/>
    </row>
    <row r="6" spans="1:23" ht="13.8" customHeight="1" thickTop="1" x14ac:dyDescent="0.3">
      <c r="A6" s="1"/>
      <c r="B6" s="8"/>
      <c r="C6" s="840"/>
      <c r="D6" s="841"/>
      <c r="E6" s="327"/>
      <c r="F6" s="840"/>
      <c r="G6" s="841"/>
      <c r="H6" s="15"/>
      <c r="I6" s="840"/>
      <c r="J6" s="841"/>
      <c r="K6" s="327"/>
      <c r="L6" s="840"/>
      <c r="M6" s="841"/>
      <c r="N6" s="327"/>
      <c r="O6" s="840"/>
      <c r="P6" s="841"/>
      <c r="Q6" s="9"/>
      <c r="R6" s="1"/>
      <c r="V6" s="846"/>
      <c r="W6" s="847"/>
    </row>
    <row r="7" spans="1:23" ht="13.8" customHeight="1" thickBot="1" x14ac:dyDescent="0.35">
      <c r="A7" s="1"/>
      <c r="B7" s="8"/>
      <c r="C7" s="842"/>
      <c r="D7" s="843"/>
      <c r="E7" s="327"/>
      <c r="F7" s="842"/>
      <c r="G7" s="843"/>
      <c r="H7" s="15"/>
      <c r="I7" s="842"/>
      <c r="J7" s="843"/>
      <c r="K7" s="327"/>
      <c r="L7" s="842"/>
      <c r="M7" s="843"/>
      <c r="N7" s="327"/>
      <c r="O7" s="842"/>
      <c r="P7" s="843"/>
      <c r="Q7" s="9"/>
      <c r="R7" s="1"/>
      <c r="V7" s="848"/>
      <c r="W7" s="849"/>
    </row>
    <row r="8" spans="1:23" ht="13.8" customHeight="1" thickTop="1" x14ac:dyDescent="0.3">
      <c r="A8" s="1"/>
      <c r="B8" s="8"/>
      <c r="C8" s="863" t="s">
        <v>2</v>
      </c>
      <c r="D8" s="863"/>
      <c r="E8" s="327"/>
      <c r="F8" s="863" t="s">
        <v>190</v>
      </c>
      <c r="G8" s="863"/>
      <c r="H8" s="15"/>
      <c r="I8" s="863" t="s">
        <v>3</v>
      </c>
      <c r="J8" s="863"/>
      <c r="K8" s="327"/>
      <c r="L8" s="863" t="s">
        <v>4</v>
      </c>
      <c r="M8" s="863"/>
      <c r="N8" s="327"/>
      <c r="O8" s="863" t="s">
        <v>427</v>
      </c>
      <c r="P8" s="863"/>
      <c r="Q8" s="9"/>
      <c r="R8" s="1"/>
      <c r="V8" s="848"/>
      <c r="W8" s="849"/>
    </row>
    <row r="9" spans="1:23" ht="13.8" customHeight="1" thickBot="1" x14ac:dyDescent="0.35">
      <c r="A9" s="1"/>
      <c r="B9" s="10"/>
      <c r="C9" s="11"/>
      <c r="D9" s="11"/>
      <c r="E9" s="11"/>
      <c r="F9" s="61"/>
      <c r="G9" s="61"/>
      <c r="H9" s="61"/>
      <c r="I9" s="11"/>
      <c r="J9" s="11"/>
      <c r="K9" s="11"/>
      <c r="L9" s="11"/>
      <c r="M9" s="11"/>
      <c r="N9" s="11"/>
      <c r="O9" s="114"/>
      <c r="P9" s="113"/>
      <c r="Q9" s="12"/>
      <c r="R9" s="1"/>
      <c r="V9" s="850"/>
      <c r="W9" s="851"/>
    </row>
    <row r="10" spans="1:23" ht="23.4" customHeight="1" thickTop="1" thickBot="1" x14ac:dyDescent="0.35">
      <c r="A10" s="1"/>
      <c r="B10" s="327"/>
      <c r="C10" s="327"/>
      <c r="D10" s="327"/>
      <c r="E10" s="327"/>
      <c r="F10" s="327"/>
      <c r="G10" s="327"/>
      <c r="H10" s="327"/>
      <c r="I10" s="327"/>
      <c r="J10" s="327"/>
      <c r="K10" s="327"/>
      <c r="L10" s="327"/>
      <c r="M10" s="327"/>
      <c r="N10" s="327"/>
      <c r="O10" s="327"/>
      <c r="P10" s="327"/>
      <c r="Q10" s="1"/>
      <c r="R10" s="1"/>
      <c r="V10" s="852"/>
      <c r="W10" s="852"/>
    </row>
    <row r="11" spans="1:23" ht="13.8" customHeight="1" thickTop="1" thickBot="1" x14ac:dyDescent="0.35">
      <c r="A11" s="1"/>
      <c r="B11" s="5"/>
      <c r="C11" s="111"/>
      <c r="D11" s="6"/>
      <c r="E11" s="6"/>
      <c r="F11" s="6"/>
      <c r="G11" s="6"/>
      <c r="H11" s="6"/>
      <c r="I11" s="6"/>
      <c r="J11" s="6"/>
      <c r="K11" s="6"/>
      <c r="L11" s="111"/>
      <c r="M11" s="6"/>
      <c r="N11" s="6"/>
      <c r="O11" s="6"/>
      <c r="P11" s="6"/>
      <c r="Q11" s="7"/>
      <c r="R11" s="1"/>
      <c r="V11" s="853"/>
      <c r="W11" s="853"/>
    </row>
    <row r="12" spans="1:23" ht="13.8" customHeight="1" thickTop="1" x14ac:dyDescent="0.3">
      <c r="A12" s="1"/>
      <c r="B12" s="8"/>
      <c r="C12" s="838"/>
      <c r="D12" s="839"/>
      <c r="E12" s="327"/>
      <c r="F12" s="838"/>
      <c r="G12" s="839"/>
      <c r="H12" s="327"/>
      <c r="I12" s="358"/>
      <c r="J12" s="359"/>
      <c r="K12" s="327"/>
      <c r="L12" s="15"/>
      <c r="M12" s="15"/>
      <c r="N12" s="327"/>
      <c r="O12" s="813"/>
      <c r="P12" s="813"/>
      <c r="Q12" s="9"/>
      <c r="R12" s="1"/>
    </row>
    <row r="13" spans="1:23" ht="13.8" customHeight="1" x14ac:dyDescent="0.3">
      <c r="A13" s="1"/>
      <c r="B13" s="8"/>
      <c r="C13" s="840"/>
      <c r="D13" s="841"/>
      <c r="E13" s="327"/>
      <c r="F13" s="840"/>
      <c r="G13" s="841"/>
      <c r="H13" s="15"/>
      <c r="I13" s="352"/>
      <c r="J13" s="357"/>
      <c r="K13" s="327"/>
      <c r="L13" s="15"/>
      <c r="M13" s="15"/>
      <c r="N13" s="327"/>
      <c r="O13" s="813"/>
      <c r="P13" s="813"/>
      <c r="Q13" s="9"/>
      <c r="R13" s="1"/>
    </row>
    <row r="14" spans="1:23" ht="13.8" customHeight="1" x14ac:dyDescent="0.3">
      <c r="A14" s="1"/>
      <c r="B14" s="8"/>
      <c r="C14" s="840"/>
      <c r="D14" s="841"/>
      <c r="E14" s="327"/>
      <c r="F14" s="840"/>
      <c r="G14" s="841"/>
      <c r="H14" s="15"/>
      <c r="I14" s="352"/>
      <c r="J14" s="357"/>
      <c r="K14" s="19"/>
      <c r="L14" s="15"/>
      <c r="M14" s="15"/>
      <c r="N14" s="327"/>
      <c r="O14" s="813"/>
      <c r="P14" s="813"/>
      <c r="Q14" s="9"/>
      <c r="R14" s="1"/>
    </row>
    <row r="15" spans="1:23" ht="13.8" customHeight="1" thickBot="1" x14ac:dyDescent="0.35">
      <c r="A15" s="1"/>
      <c r="B15" s="8"/>
      <c r="C15" s="842"/>
      <c r="D15" s="843"/>
      <c r="E15" s="327"/>
      <c r="F15" s="842"/>
      <c r="G15" s="843"/>
      <c r="H15" s="15"/>
      <c r="I15" s="360"/>
      <c r="J15" s="361"/>
      <c r="K15" s="19"/>
      <c r="L15" s="15"/>
      <c r="M15" s="15"/>
      <c r="N15" s="327"/>
      <c r="O15" s="813"/>
      <c r="P15" s="813"/>
      <c r="Q15" s="9"/>
      <c r="R15" s="1"/>
    </row>
    <row r="16" spans="1:23" ht="13.8" customHeight="1" thickTop="1" x14ac:dyDescent="0.3">
      <c r="A16" s="1"/>
      <c r="B16" s="8"/>
      <c r="C16" s="863" t="s">
        <v>2</v>
      </c>
      <c r="D16" s="863"/>
      <c r="E16" s="327"/>
      <c r="F16" s="863" t="s">
        <v>53</v>
      </c>
      <c r="G16" s="863"/>
      <c r="H16" s="15"/>
      <c r="I16" s="1069" t="s">
        <v>427</v>
      </c>
      <c r="J16" s="1069"/>
      <c r="K16" s="327"/>
      <c r="L16" s="1067"/>
      <c r="M16" s="1071"/>
      <c r="N16" s="327"/>
      <c r="O16" s="1067"/>
      <c r="P16" s="1067"/>
      <c r="Q16" s="9"/>
      <c r="R16" s="1"/>
    </row>
    <row r="17" spans="1:18" ht="13.8" customHeight="1" thickBot="1" x14ac:dyDescent="0.35">
      <c r="A17" s="1"/>
      <c r="B17" s="10"/>
      <c r="C17" s="11"/>
      <c r="D17" s="11"/>
      <c r="E17" s="11"/>
      <c r="F17" s="61"/>
      <c r="G17" s="61"/>
      <c r="H17" s="61"/>
      <c r="I17" s="1070"/>
      <c r="J17" s="1070"/>
      <c r="K17" s="112"/>
      <c r="L17" s="1072"/>
      <c r="M17" s="1072"/>
      <c r="N17" s="11"/>
      <c r="O17" s="1070"/>
      <c r="P17" s="1070"/>
      <c r="Q17" s="12"/>
      <c r="R17" s="1"/>
    </row>
    <row r="18" spans="1:18" ht="25.8" customHeight="1" thickTop="1" x14ac:dyDescent="0.3">
      <c r="A18" s="1"/>
      <c r="B18" s="327"/>
      <c r="C18" s="327"/>
      <c r="D18" s="327"/>
      <c r="E18" s="327"/>
      <c r="F18" s="327"/>
      <c r="G18" s="327"/>
      <c r="H18" s="327"/>
      <c r="I18" s="327"/>
      <c r="J18" s="327"/>
      <c r="K18" s="327"/>
      <c r="L18" s="327"/>
      <c r="M18" s="327"/>
      <c r="N18" s="327"/>
      <c r="O18" s="327"/>
      <c r="P18" s="327"/>
      <c r="Q18" s="1"/>
      <c r="R18" s="1"/>
    </row>
    <row r="19" spans="1:18" x14ac:dyDescent="0.3">
      <c r="A19" s="327"/>
      <c r="B19" s="109" t="s">
        <v>227</v>
      </c>
      <c r="C19" s="327"/>
      <c r="D19" s="327"/>
      <c r="E19" s="327"/>
      <c r="F19" s="327"/>
      <c r="G19" s="327"/>
      <c r="H19" s="327"/>
      <c r="I19" s="327"/>
      <c r="J19" s="327"/>
      <c r="K19" s="327"/>
      <c r="L19" s="327"/>
      <c r="M19" s="327"/>
      <c r="N19" s="327"/>
      <c r="O19" s="327"/>
      <c r="P19" s="327"/>
      <c r="Q19" s="1"/>
      <c r="R19" s="1"/>
    </row>
    <row r="20" spans="1:18" x14ac:dyDescent="0.3">
      <c r="A20" s="327"/>
      <c r="B20" s="109" t="s">
        <v>277</v>
      </c>
      <c r="C20" s="15"/>
      <c r="D20" s="15"/>
      <c r="E20" s="327"/>
      <c r="F20" s="15"/>
      <c r="G20" s="15"/>
      <c r="H20" s="327"/>
      <c r="I20" s="15"/>
      <c r="J20" s="15"/>
      <c r="K20" s="327"/>
      <c r="L20" s="15"/>
      <c r="M20" s="15"/>
      <c r="N20" s="327"/>
      <c r="O20" s="327"/>
      <c r="P20" s="327"/>
      <c r="Q20" s="1"/>
      <c r="R20" s="1"/>
    </row>
    <row r="21" spans="1:18" x14ac:dyDescent="0.3">
      <c r="A21" s="327"/>
      <c r="B21" s="109" t="s">
        <v>426</v>
      </c>
      <c r="C21" s="15"/>
      <c r="D21" s="15"/>
      <c r="E21" s="327"/>
      <c r="F21" s="15"/>
      <c r="G21" s="15"/>
      <c r="H21" s="327"/>
      <c r="I21" s="15"/>
      <c r="J21" s="15"/>
      <c r="K21" s="327"/>
      <c r="L21" s="15"/>
      <c r="M21" s="15"/>
      <c r="N21" s="327"/>
      <c r="O21" s="327"/>
      <c r="P21" s="327"/>
      <c r="Q21" s="1"/>
      <c r="R21" s="1"/>
    </row>
    <row r="22" spans="1:18" x14ac:dyDescent="0.3">
      <c r="A22" s="327"/>
      <c r="B22" s="109" t="s">
        <v>278</v>
      </c>
      <c r="C22" s="15"/>
      <c r="D22" s="15"/>
      <c r="E22" s="327"/>
      <c r="F22" s="15"/>
      <c r="G22" s="15"/>
      <c r="H22" s="327"/>
      <c r="I22" s="15"/>
      <c r="J22" s="15"/>
      <c r="K22" s="327"/>
      <c r="L22" s="15"/>
      <c r="M22" s="15"/>
      <c r="N22" s="327"/>
      <c r="O22" s="327"/>
      <c r="P22" s="327"/>
      <c r="Q22" s="1"/>
      <c r="R22" s="1"/>
    </row>
    <row r="23" spans="1:18" x14ac:dyDescent="0.3">
      <c r="A23" s="327"/>
      <c r="B23" s="380"/>
      <c r="C23" s="15"/>
      <c r="D23" s="15"/>
      <c r="E23" s="327"/>
      <c r="F23" s="15"/>
      <c r="G23" s="15"/>
      <c r="H23" s="327"/>
      <c r="I23" s="15"/>
      <c r="J23" s="15"/>
      <c r="K23" s="327"/>
      <c r="L23" s="15"/>
      <c r="M23" s="15"/>
      <c r="N23" s="327"/>
      <c r="O23" s="327"/>
      <c r="P23" s="327"/>
      <c r="Q23" s="1"/>
      <c r="R23" s="1"/>
    </row>
    <row r="24" spans="1:18" ht="15" customHeight="1" x14ac:dyDescent="0.3">
      <c r="A24" s="327"/>
      <c r="B24" s="327"/>
      <c r="C24" s="1067"/>
      <c r="D24" s="1067"/>
      <c r="E24" s="327"/>
      <c r="F24" s="1067"/>
      <c r="G24" s="1067"/>
      <c r="H24" s="327"/>
      <c r="I24" s="1067"/>
      <c r="J24" s="1067"/>
      <c r="K24" s="327"/>
      <c r="L24" s="353"/>
      <c r="M24" s="353"/>
      <c r="N24" s="327"/>
      <c r="O24" s="327"/>
      <c r="P24" s="1"/>
      <c r="Q24" s="1"/>
      <c r="R24" s="1"/>
    </row>
    <row r="25" spans="1:18" ht="15" customHeight="1" x14ac:dyDescent="0.3">
      <c r="A25" s="327"/>
      <c r="B25" s="327"/>
      <c r="C25" s="1067"/>
      <c r="D25" s="1067"/>
      <c r="E25" s="327"/>
      <c r="F25" s="1067"/>
      <c r="G25" s="1067"/>
      <c r="H25" s="327"/>
      <c r="I25" s="1067"/>
      <c r="J25" s="1067"/>
      <c r="K25" s="327"/>
      <c r="L25" s="353"/>
      <c r="M25" s="353"/>
      <c r="N25" s="327"/>
      <c r="O25" s="327"/>
      <c r="P25" s="1"/>
      <c r="Q25" s="1"/>
      <c r="R25" s="1"/>
    </row>
    <row r="26" spans="1:18" x14ac:dyDescent="0.3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</row>
    <row r="27" spans="1:18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</row>
    <row r="28" spans="1:18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</row>
    <row r="29" spans="1:18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</row>
    <row r="30" spans="1:18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18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18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  <row r="40" spans="1:20" x14ac:dyDescent="0.3">
      <c r="A40" s="327"/>
      <c r="B40" s="327"/>
      <c r="C40" s="327"/>
      <c r="D40" s="327"/>
      <c r="E40" s="327"/>
      <c r="F40" s="327"/>
      <c r="G40" s="327"/>
      <c r="H40" s="327"/>
      <c r="I40" s="327"/>
      <c r="J40" s="327"/>
      <c r="K40" s="327"/>
      <c r="L40" s="327"/>
      <c r="M40" s="327"/>
      <c r="N40" s="327"/>
      <c r="O40" s="327"/>
      <c r="P40" s="327"/>
      <c r="Q40" s="327"/>
      <c r="R40" s="327"/>
      <c r="S40" s="327"/>
      <c r="T40" s="16"/>
    </row>
    <row r="41" spans="1:20" x14ac:dyDescent="0.3">
      <c r="A41" s="327"/>
      <c r="B41" s="15"/>
      <c r="C41" s="15"/>
      <c r="D41" s="15"/>
      <c r="E41" s="15"/>
      <c r="F41" s="15"/>
      <c r="G41" s="327"/>
      <c r="H41" s="327"/>
      <c r="I41" s="327"/>
      <c r="J41" s="327"/>
      <c r="K41" s="327"/>
      <c r="L41" s="327"/>
      <c r="M41" s="327"/>
      <c r="N41" s="327"/>
      <c r="O41" s="327"/>
      <c r="P41" s="327"/>
      <c r="Q41" s="327"/>
      <c r="R41" s="327"/>
      <c r="S41" s="327"/>
      <c r="T41" s="16"/>
    </row>
    <row r="42" spans="1:20" x14ac:dyDescent="0.3">
      <c r="A42" s="327"/>
      <c r="B42" s="21"/>
      <c r="C42" s="21"/>
      <c r="D42" s="21"/>
      <c r="E42" s="21"/>
      <c r="F42" s="21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327"/>
      <c r="T42" s="16"/>
    </row>
    <row r="43" spans="1:20" x14ac:dyDescent="0.3">
      <c r="A43" s="327"/>
      <c r="B43" s="327"/>
      <c r="C43" s="327"/>
      <c r="D43" s="327"/>
      <c r="E43" s="327"/>
      <c r="F43" s="327"/>
      <c r="G43" s="327"/>
      <c r="H43" s="327"/>
      <c r="I43" s="327"/>
      <c r="J43" s="327"/>
      <c r="K43" s="327"/>
      <c r="L43" s="327"/>
      <c r="M43" s="327"/>
      <c r="N43" s="327"/>
      <c r="O43" s="327"/>
      <c r="P43" s="327"/>
      <c r="Q43" s="327"/>
      <c r="R43" s="327"/>
      <c r="S43" s="327"/>
      <c r="T43" s="24"/>
    </row>
    <row r="44" spans="1:20" ht="18" x14ac:dyDescent="0.3">
      <c r="A44" s="26"/>
      <c r="B44" s="28"/>
      <c r="C44" s="864" t="s">
        <v>16</v>
      </c>
      <c r="D44" s="864"/>
      <c r="E44" s="864"/>
      <c r="F44" s="32" t="s">
        <v>40</v>
      </c>
      <c r="G44" s="1068" t="s">
        <v>226</v>
      </c>
      <c r="H44" s="1068"/>
      <c r="I44" s="1068"/>
      <c r="J44" s="1068"/>
      <c r="K44" s="866" t="s">
        <v>15</v>
      </c>
      <c r="L44" s="866"/>
      <c r="M44" s="866"/>
      <c r="N44" s="898" t="s">
        <v>21</v>
      </c>
      <c r="O44" s="898"/>
      <c r="P44" s="32">
        <f>VLOOKUP(N44,'Default values '!C2:D10,2,TRUE)</f>
        <v>5000</v>
      </c>
      <c r="Q44" s="28"/>
      <c r="R44" s="28"/>
      <c r="S44" s="28"/>
      <c r="T44" s="25"/>
    </row>
    <row r="45" spans="1:20" ht="18" x14ac:dyDescent="0.35">
      <c r="A45" s="327"/>
      <c r="B45" s="14"/>
      <c r="C45" s="864"/>
      <c r="D45" s="864"/>
      <c r="E45" s="864"/>
      <c r="F45" s="32"/>
      <c r="G45" s="1068"/>
      <c r="H45" s="1068"/>
      <c r="I45" s="1068"/>
      <c r="J45" s="1068"/>
      <c r="K45" s="866"/>
      <c r="L45" s="866"/>
      <c r="M45" s="866"/>
      <c r="N45" s="898"/>
      <c r="O45" s="898"/>
      <c r="P45" s="14"/>
      <c r="Q45" s="14"/>
      <c r="R45" s="14"/>
      <c r="S45" s="14"/>
      <c r="T45" s="16"/>
    </row>
    <row r="46" spans="1:20" ht="21" x14ac:dyDescent="0.35">
      <c r="A46" s="327"/>
      <c r="B46" s="14"/>
      <c r="C46" s="328"/>
      <c r="D46" s="328"/>
      <c r="E46" s="328"/>
      <c r="F46" s="47"/>
      <c r="G46" s="1068"/>
      <c r="H46" s="1068"/>
      <c r="I46" s="1068"/>
      <c r="J46" s="1068"/>
      <c r="K46" s="14"/>
      <c r="L46" s="14"/>
      <c r="M46" s="14"/>
      <c r="N46" s="354"/>
      <c r="O46" s="354"/>
      <c r="P46" s="14"/>
      <c r="Q46" s="14"/>
      <c r="R46" s="14"/>
      <c r="S46" s="14"/>
      <c r="T46" s="16"/>
    </row>
    <row r="47" spans="1:20" ht="21" x14ac:dyDescent="0.35">
      <c r="A47" s="327"/>
      <c r="B47" s="14"/>
      <c r="C47" s="328"/>
      <c r="D47" s="328"/>
      <c r="E47" s="328"/>
      <c r="F47" s="47"/>
      <c r="G47" s="1068"/>
      <c r="H47" s="1068"/>
      <c r="I47" s="1068"/>
      <c r="J47" s="1068"/>
      <c r="K47" s="866" t="s">
        <v>42</v>
      </c>
      <c r="L47" s="866"/>
      <c r="M47" s="866"/>
      <c r="N47" s="898">
        <v>19</v>
      </c>
      <c r="O47" s="898"/>
      <c r="P47" s="869" t="s">
        <v>23</v>
      </c>
      <c r="Q47" s="14"/>
      <c r="R47" s="14"/>
      <c r="S47" s="14"/>
      <c r="T47" s="16"/>
    </row>
    <row r="48" spans="1:20" ht="21" x14ac:dyDescent="0.35">
      <c r="A48" s="327"/>
      <c r="B48" s="14"/>
      <c r="C48" s="328"/>
      <c r="D48" s="328"/>
      <c r="E48" s="328"/>
      <c r="F48" s="47"/>
      <c r="G48" s="1068"/>
      <c r="H48" s="1068"/>
      <c r="I48" s="1068"/>
      <c r="J48" s="1068"/>
      <c r="K48" s="866"/>
      <c r="L48" s="866"/>
      <c r="M48" s="866"/>
      <c r="N48" s="898"/>
      <c r="O48" s="898"/>
      <c r="P48" s="869"/>
      <c r="Q48" s="26"/>
      <c r="R48" s="26"/>
      <c r="S48" s="26"/>
      <c r="T48" s="16"/>
    </row>
    <row r="49" spans="1:20" ht="21" x14ac:dyDescent="0.35">
      <c r="A49" s="327"/>
      <c r="B49" s="14"/>
      <c r="C49" s="328"/>
      <c r="D49" s="328"/>
      <c r="E49" s="328"/>
      <c r="F49" s="47"/>
      <c r="G49" s="47"/>
      <c r="H49" s="47"/>
      <c r="I49" s="327"/>
      <c r="J49" s="327"/>
      <c r="K49" s="327"/>
      <c r="L49" s="327"/>
      <c r="M49" s="327"/>
      <c r="N49" s="327"/>
      <c r="O49" s="327"/>
      <c r="P49" s="327"/>
      <c r="Q49" s="327"/>
      <c r="R49" s="327"/>
      <c r="S49" s="327"/>
      <c r="T49" s="22"/>
    </row>
    <row r="50" spans="1:20" ht="18.600000000000001" thickBot="1" x14ac:dyDescent="0.4">
      <c r="A50" s="327"/>
      <c r="B50" s="14"/>
      <c r="C50" s="14"/>
      <c r="D50" s="14"/>
      <c r="E50" s="14"/>
      <c r="F50" s="14"/>
      <c r="G50" s="14"/>
      <c r="H50" s="14"/>
      <c r="I50" s="327"/>
      <c r="J50" s="327"/>
      <c r="K50" s="327"/>
      <c r="L50" s="327"/>
      <c r="M50" s="327"/>
      <c r="N50" s="327"/>
      <c r="O50" s="327"/>
      <c r="P50" s="327"/>
      <c r="Q50" s="327"/>
      <c r="R50" s="327"/>
      <c r="S50" s="327"/>
      <c r="T50" s="16" t="s">
        <v>121</v>
      </c>
    </row>
    <row r="51" spans="1:20" ht="21.6" thickTop="1" x14ac:dyDescent="0.35">
      <c r="A51" s="327"/>
      <c r="B51" s="29"/>
      <c r="C51" s="30"/>
      <c r="D51" s="30"/>
      <c r="E51" s="30"/>
      <c r="F51" s="30"/>
      <c r="G51" s="30"/>
      <c r="H51" s="30"/>
      <c r="I51" s="6"/>
      <c r="J51" s="6"/>
      <c r="K51" s="53"/>
      <c r="L51" s="327"/>
      <c r="M51" s="15"/>
      <c r="N51" s="15"/>
      <c r="O51" s="15"/>
      <c r="P51" s="15"/>
      <c r="Q51" s="15"/>
      <c r="R51" s="15"/>
      <c r="S51" s="327"/>
      <c r="T51" s="16"/>
    </row>
    <row r="52" spans="1:20" x14ac:dyDescent="0.3">
      <c r="A52" s="26"/>
      <c r="B52" s="31"/>
      <c r="C52" s="869" t="s">
        <v>7</v>
      </c>
      <c r="D52" s="869"/>
      <c r="E52" s="869"/>
      <c r="F52" s="898">
        <v>100</v>
      </c>
      <c r="G52" s="898"/>
      <c r="H52" s="869" t="s">
        <v>8</v>
      </c>
      <c r="I52" s="26"/>
      <c r="J52" s="26"/>
      <c r="K52" s="51"/>
      <c r="L52" s="26"/>
      <c r="M52" s="46"/>
      <c r="N52" s="46"/>
      <c r="O52" s="46"/>
      <c r="P52" s="46"/>
      <c r="Q52" s="46"/>
      <c r="R52" s="46"/>
      <c r="S52" s="26"/>
      <c r="T52" s="16"/>
    </row>
    <row r="53" spans="1:20" x14ac:dyDescent="0.3">
      <c r="A53" s="327"/>
      <c r="B53" s="8"/>
      <c r="C53" s="869"/>
      <c r="D53" s="869"/>
      <c r="E53" s="869"/>
      <c r="F53" s="898"/>
      <c r="G53" s="898"/>
      <c r="H53" s="869"/>
      <c r="I53" s="15"/>
      <c r="J53" s="26"/>
      <c r="K53" s="51"/>
      <c r="L53" s="26"/>
      <c r="M53" s="899" t="str">
        <f>IF(O53="","","Heat loss")</f>
        <v/>
      </c>
      <c r="N53" s="899"/>
      <c r="O53" s="1012" t="str">
        <f>IF(Surface!N85=0,"",Surface!N85)</f>
        <v/>
      </c>
      <c r="P53" s="1012"/>
      <c r="Q53" s="909" t="str">
        <f>IF(O53="","","kWh/a")</f>
        <v/>
      </c>
      <c r="R53" s="909"/>
      <c r="S53" s="327"/>
      <c r="T53" s="22"/>
    </row>
    <row r="54" spans="1:20" ht="21" x14ac:dyDescent="0.3">
      <c r="A54" s="327"/>
      <c r="B54" s="8"/>
      <c r="C54" s="327"/>
      <c r="D54" s="327"/>
      <c r="E54" s="327"/>
      <c r="F54" s="325"/>
      <c r="G54" s="325"/>
      <c r="H54" s="327"/>
      <c r="I54" s="15"/>
      <c r="J54" s="15"/>
      <c r="K54" s="45"/>
      <c r="L54" s="15"/>
      <c r="M54" s="899"/>
      <c r="N54" s="899"/>
      <c r="O54" s="1012"/>
      <c r="P54" s="1012"/>
      <c r="Q54" s="909"/>
      <c r="R54" s="909"/>
      <c r="S54" s="327"/>
      <c r="T54" s="16"/>
    </row>
    <row r="55" spans="1:20" ht="23.4" x14ac:dyDescent="0.3">
      <c r="A55" s="327"/>
      <c r="B55" s="8"/>
      <c r="C55" s="327"/>
      <c r="D55" s="327"/>
      <c r="E55" s="327"/>
      <c r="F55" s="325"/>
      <c r="G55" s="325"/>
      <c r="H55" s="327"/>
      <c r="I55" s="27"/>
      <c r="J55" s="27"/>
      <c r="K55" s="45"/>
      <c r="L55" s="27"/>
      <c r="M55" s="899"/>
      <c r="N55" s="899"/>
      <c r="O55" s="1014" t="str">
        <f>IF(Surface!N85=0,"",Surface!O85)</f>
        <v/>
      </c>
      <c r="P55" s="1014"/>
      <c r="Q55" s="911" t="str">
        <f>IF(Surface!O56="","",IF(Surface!N85=0,"","€/a"))</f>
        <v/>
      </c>
      <c r="R55" s="911"/>
      <c r="S55" s="327"/>
      <c r="T55" s="16"/>
    </row>
    <row r="56" spans="1:20" ht="23.4" x14ac:dyDescent="0.3">
      <c r="A56" s="26"/>
      <c r="B56" s="31"/>
      <c r="C56" s="869" t="s">
        <v>109</v>
      </c>
      <c r="D56" s="869"/>
      <c r="E56" s="869"/>
      <c r="F56" s="898" t="s">
        <v>10</v>
      </c>
      <c r="G56" s="898"/>
      <c r="H56" s="52" t="e">
        <f>IF(F56="","",VLOOKUP(F56,'Default values '!A2:B8,2,FALSE))</f>
        <v>#N/A</v>
      </c>
      <c r="I56" s="27"/>
      <c r="J56" s="27"/>
      <c r="K56" s="51"/>
      <c r="L56" s="27"/>
      <c r="M56" s="899"/>
      <c r="N56" s="899"/>
      <c r="O56" s="1014"/>
      <c r="P56" s="1014"/>
      <c r="Q56" s="911"/>
      <c r="R56" s="911"/>
      <c r="S56" s="26"/>
      <c r="T56" s="16"/>
    </row>
    <row r="57" spans="1:20" x14ac:dyDescent="0.3">
      <c r="A57" s="327"/>
      <c r="B57" s="8"/>
      <c r="C57" s="869"/>
      <c r="D57" s="869"/>
      <c r="E57" s="869"/>
      <c r="F57" s="898"/>
      <c r="G57" s="898"/>
      <c r="H57" s="15"/>
      <c r="I57" s="327"/>
      <c r="J57" s="327"/>
      <c r="K57" s="9"/>
      <c r="L57" s="327"/>
      <c r="M57" s="912" t="str">
        <f>IF(O53="","","Saving potential")</f>
        <v/>
      </c>
      <c r="N57" s="912"/>
      <c r="O57" s="1017" t="e">
        <f>IF(N73=0,"",Surface!#REF!)</f>
        <v>#N/A</v>
      </c>
      <c r="P57" s="1017"/>
      <c r="Q57" s="961" t="e">
        <f>IF(O57="","","kWh/a")</f>
        <v>#N/A</v>
      </c>
      <c r="R57" s="961"/>
      <c r="S57" s="327"/>
      <c r="T57" s="22"/>
    </row>
    <row r="58" spans="1:20" x14ac:dyDescent="0.3">
      <c r="A58" s="327"/>
      <c r="B58" s="8"/>
      <c r="C58" s="15"/>
      <c r="D58" s="15"/>
      <c r="E58" s="15"/>
      <c r="F58" s="325"/>
      <c r="G58" s="325"/>
      <c r="H58" s="15"/>
      <c r="I58" s="327"/>
      <c r="J58" s="327"/>
      <c r="K58" s="9"/>
      <c r="L58" s="327"/>
      <c r="M58" s="912"/>
      <c r="N58" s="912"/>
      <c r="O58" s="1017"/>
      <c r="P58" s="1017"/>
      <c r="Q58" s="961"/>
      <c r="R58" s="961"/>
      <c r="S58" s="327"/>
      <c r="T58" s="16"/>
    </row>
    <row r="59" spans="1:20" x14ac:dyDescent="0.3">
      <c r="A59" s="327"/>
      <c r="B59" s="8"/>
      <c r="C59" s="327"/>
      <c r="D59" s="327"/>
      <c r="E59" s="327"/>
      <c r="F59" s="325"/>
      <c r="G59" s="325"/>
      <c r="H59" s="327"/>
      <c r="I59" s="327"/>
      <c r="J59" s="327"/>
      <c r="K59" s="9"/>
      <c r="L59" s="327"/>
      <c r="M59" s="912"/>
      <c r="N59" s="912"/>
      <c r="O59" s="1011" t="e">
        <f>IF(N73=0,"",Surface!#REF!)</f>
        <v>#N/A</v>
      </c>
      <c r="P59" s="1011"/>
      <c r="Q59" s="962" t="e">
        <f>IF(O59=0,"",IF(N73=0,"","€/a"))</f>
        <v>#N/A</v>
      </c>
      <c r="R59" s="962"/>
      <c r="S59" s="327"/>
      <c r="T59" s="16"/>
    </row>
    <row r="60" spans="1:20" x14ac:dyDescent="0.3">
      <c r="A60" s="26"/>
      <c r="B60" s="31"/>
      <c r="C60" s="869" t="s">
        <v>39</v>
      </c>
      <c r="D60" s="869"/>
      <c r="E60" s="869"/>
      <c r="F60" s="898">
        <v>20</v>
      </c>
      <c r="G60" s="898"/>
      <c r="H60" s="869" t="s">
        <v>23</v>
      </c>
      <c r="I60" s="26"/>
      <c r="J60" s="26"/>
      <c r="K60" s="51"/>
      <c r="L60" s="26"/>
      <c r="M60" s="912"/>
      <c r="N60" s="912"/>
      <c r="O60" s="1011"/>
      <c r="P60" s="1011"/>
      <c r="Q60" s="962"/>
      <c r="R60" s="962"/>
      <c r="S60" s="26"/>
      <c r="T60" s="16"/>
    </row>
    <row r="61" spans="1:20" x14ac:dyDescent="0.3">
      <c r="A61" s="327"/>
      <c r="B61" s="8"/>
      <c r="C61" s="869"/>
      <c r="D61" s="869"/>
      <c r="E61" s="869"/>
      <c r="F61" s="898"/>
      <c r="G61" s="898"/>
      <c r="H61" s="869"/>
      <c r="I61" s="327"/>
      <c r="J61" s="327"/>
      <c r="K61" s="9"/>
      <c r="L61" s="327"/>
      <c r="M61" s="46"/>
      <c r="N61" s="46"/>
      <c r="O61" s="46"/>
      <c r="P61" s="46"/>
      <c r="Q61" s="46"/>
      <c r="R61" s="46"/>
      <c r="S61" s="327"/>
      <c r="T61" s="22"/>
    </row>
    <row r="62" spans="1:20" ht="21" x14ac:dyDescent="0.3">
      <c r="A62" s="327"/>
      <c r="B62" s="8"/>
      <c r="C62" s="327"/>
      <c r="D62" s="327"/>
      <c r="E62" s="327"/>
      <c r="F62" s="326"/>
      <c r="G62" s="326"/>
      <c r="H62" s="18"/>
      <c r="I62" s="19"/>
      <c r="J62" s="19"/>
      <c r="K62" s="45"/>
      <c r="L62" s="327"/>
      <c r="M62" s="50"/>
      <c r="N62" s="48"/>
      <c r="O62" s="48"/>
      <c r="P62" s="48"/>
      <c r="Q62" s="48"/>
      <c r="R62" s="48"/>
      <c r="S62" s="327"/>
      <c r="T62" s="16"/>
    </row>
    <row r="63" spans="1:20" ht="21" x14ac:dyDescent="0.3">
      <c r="A63" s="327"/>
      <c r="B63" s="8"/>
      <c r="C63" s="327"/>
      <c r="D63" s="327"/>
      <c r="E63" s="327"/>
      <c r="F63" s="326"/>
      <c r="G63" s="326"/>
      <c r="H63" s="19"/>
      <c r="I63" s="19"/>
      <c r="J63" s="19"/>
      <c r="K63" s="45"/>
      <c r="L63" s="327"/>
      <c r="M63" s="54"/>
      <c r="N63" s="49"/>
      <c r="O63" s="49"/>
      <c r="P63" s="49"/>
      <c r="Q63" s="48"/>
      <c r="R63" s="48"/>
      <c r="S63" s="327"/>
      <c r="T63" s="16"/>
    </row>
    <row r="64" spans="1:20" ht="21" x14ac:dyDescent="0.3">
      <c r="A64" s="26"/>
      <c r="B64" s="8"/>
      <c r="C64" s="869" t="s">
        <v>41</v>
      </c>
      <c r="D64" s="869"/>
      <c r="E64" s="869"/>
      <c r="F64" s="898">
        <v>19</v>
      </c>
      <c r="G64" s="898"/>
      <c r="H64" s="869" t="s">
        <v>23</v>
      </c>
      <c r="I64" s="19"/>
      <c r="J64" s="19"/>
      <c r="K64" s="45"/>
      <c r="L64" s="327"/>
      <c r="M64" s="904">
        <f>IF(F64="","",Surface!R85)</f>
        <v>0</v>
      </c>
      <c r="N64" s="904"/>
      <c r="O64" s="904"/>
      <c r="P64" s="904"/>
      <c r="Q64" s="48"/>
      <c r="R64" s="48"/>
      <c r="S64" s="327"/>
      <c r="T64" s="16"/>
    </row>
    <row r="65" spans="1:25" ht="21" x14ac:dyDescent="0.3">
      <c r="A65" s="327"/>
      <c r="B65" s="8"/>
      <c r="C65" s="869"/>
      <c r="D65" s="869"/>
      <c r="E65" s="869"/>
      <c r="F65" s="898"/>
      <c r="G65" s="898"/>
      <c r="H65" s="869"/>
      <c r="I65" s="19"/>
      <c r="J65" s="19"/>
      <c r="K65" s="45"/>
      <c r="L65" s="327"/>
      <c r="M65" s="904"/>
      <c r="N65" s="904"/>
      <c r="O65" s="904"/>
      <c r="P65" s="904"/>
      <c r="Q65" s="48"/>
      <c r="R65" s="327"/>
      <c r="S65" s="327"/>
      <c r="T65" s="16"/>
    </row>
    <row r="66" spans="1:25" ht="21.6" thickBot="1" x14ac:dyDescent="0.35">
      <c r="A66" s="327"/>
      <c r="B66" s="10"/>
      <c r="C66" s="11"/>
      <c r="D66" s="11"/>
      <c r="E66" s="11"/>
      <c r="F66" s="11"/>
      <c r="G66" s="11"/>
      <c r="H66" s="11"/>
      <c r="I66" s="11"/>
      <c r="J66" s="11"/>
      <c r="K66" s="12"/>
      <c r="L66" s="327"/>
      <c r="M66" s="904"/>
      <c r="N66" s="904"/>
      <c r="O66" s="904"/>
      <c r="P66" s="904"/>
      <c r="Q66" s="48"/>
      <c r="R66" s="327"/>
      <c r="S66" s="327"/>
      <c r="T66" s="16"/>
    </row>
    <row r="67" spans="1:25" ht="15.6" thickTop="1" thickBot="1" x14ac:dyDescent="0.35">
      <c r="A67" s="327"/>
      <c r="B67" s="327"/>
      <c r="C67" s="327"/>
      <c r="D67" s="327"/>
      <c r="E67" s="327"/>
      <c r="F67" s="327"/>
      <c r="G67" s="327"/>
      <c r="H67" s="327"/>
      <c r="I67" s="327"/>
      <c r="J67" s="327"/>
      <c r="K67" s="327"/>
      <c r="L67" s="327"/>
      <c r="M67" s="327"/>
      <c r="N67" s="327"/>
      <c r="O67" s="327"/>
      <c r="P67" s="327"/>
      <c r="Q67" s="327"/>
      <c r="R67" s="327"/>
      <c r="S67" s="327"/>
      <c r="T67" s="16"/>
    </row>
    <row r="68" spans="1:25" ht="15" thickTop="1" x14ac:dyDescent="0.3">
      <c r="A68" s="327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327"/>
      <c r="T68" s="16"/>
    </row>
    <row r="69" spans="1:25" s="2" customFormat="1" ht="19.8" customHeight="1" x14ac:dyDescent="0.3">
      <c r="A69" s="16"/>
      <c r="B69" s="16"/>
      <c r="C69" s="16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</row>
    <row r="70" spans="1:25" s="2" customFormat="1" x14ac:dyDescent="0.3">
      <c r="A70" s="16"/>
      <c r="B70" s="16"/>
      <c r="C70" s="16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</row>
    <row r="71" spans="1:25" ht="54" x14ac:dyDescent="0.3">
      <c r="A71" s="71"/>
      <c r="B71" s="71"/>
      <c r="C71" s="79"/>
      <c r="D71" s="78"/>
      <c r="E71" s="78"/>
      <c r="F71" s="35"/>
      <c r="G71" s="16"/>
      <c r="H71" s="16"/>
      <c r="I71" s="16"/>
      <c r="J71" s="80"/>
      <c r="K71" s="80"/>
      <c r="L71" s="80"/>
      <c r="M71" s="81"/>
      <c r="N71" s="82" t="s">
        <v>32</v>
      </c>
      <c r="O71" s="82" t="s">
        <v>93</v>
      </c>
      <c r="P71" s="897"/>
      <c r="Q71" s="897"/>
      <c r="R71" s="83"/>
      <c r="S71" s="16"/>
      <c r="T71" s="16"/>
    </row>
    <row r="72" spans="1:25" ht="43.2" x14ac:dyDescent="0.3">
      <c r="A72" s="893" t="s">
        <v>5</v>
      </c>
      <c r="B72" s="894"/>
      <c r="C72" s="332" t="s">
        <v>37</v>
      </c>
      <c r="D72" s="88" t="s">
        <v>43</v>
      </c>
      <c r="E72" s="88" t="s">
        <v>30</v>
      </c>
      <c r="F72" s="88" t="s">
        <v>31</v>
      </c>
      <c r="G72" s="90" t="s">
        <v>88</v>
      </c>
      <c r="H72" s="88" t="s">
        <v>69</v>
      </c>
      <c r="I72" s="88" t="s">
        <v>68</v>
      </c>
      <c r="J72" s="89" t="s">
        <v>14</v>
      </c>
      <c r="K72" s="89" t="s">
        <v>29</v>
      </c>
      <c r="L72" s="89" t="s">
        <v>27</v>
      </c>
      <c r="M72" s="84" t="s">
        <v>28</v>
      </c>
      <c r="N72" s="86" t="s">
        <v>94</v>
      </c>
      <c r="O72" s="86" t="s">
        <v>95</v>
      </c>
      <c r="P72" s="335" t="s">
        <v>70</v>
      </c>
      <c r="Q72" s="335"/>
      <c r="R72" s="895"/>
      <c r="S72" s="895"/>
      <c r="T72" s="895"/>
      <c r="V72" s="2" t="s">
        <v>14</v>
      </c>
      <c r="W72" s="2" t="s">
        <v>29</v>
      </c>
      <c r="X72" s="2" t="s">
        <v>27</v>
      </c>
      <c r="Y72" s="2" t="s">
        <v>28</v>
      </c>
    </row>
    <row r="73" spans="1:25" ht="18" x14ac:dyDescent="0.3">
      <c r="A73" s="886" t="str">
        <f>G44</f>
        <v>hikhjkl</v>
      </c>
      <c r="B73" s="886"/>
      <c r="C73" s="263">
        <f>F52</f>
        <v>100</v>
      </c>
      <c r="D73" s="263">
        <f>N47</f>
        <v>19</v>
      </c>
      <c r="E73" s="264">
        <f>F64</f>
        <v>19</v>
      </c>
      <c r="F73" s="264">
        <f>F60</f>
        <v>20</v>
      </c>
      <c r="G73" s="265" t="e">
        <f>H56</f>
        <v>#N/A</v>
      </c>
      <c r="H73" s="264">
        <f>P44</f>
        <v>5000</v>
      </c>
      <c r="I73" s="265">
        <f>TBi!$L$27</f>
        <v>0.05</v>
      </c>
      <c r="J73" s="200" t="e">
        <f>IF(E73=0,"",D86*G73*(((E73+273)^4-(F73+273)^4)/(E73-F73)))</f>
        <v>#N/A</v>
      </c>
      <c r="K73" s="201">
        <f>IF(E73=0,"",1.74*ABS(E73-F73)^0.3333333)</f>
        <v>1.74</v>
      </c>
      <c r="L73" s="200" t="e">
        <f>IF(E73=0,"",J73+K73)</f>
        <v>#N/A</v>
      </c>
      <c r="M73" s="202" t="e">
        <f>IF(E73=0,"",L73*ABS(E73-F73))</f>
        <v>#N/A</v>
      </c>
      <c r="N73" s="85" t="e">
        <f>IF(E73=0,"",M73*H73*C73/1000)</f>
        <v>#N/A</v>
      </c>
      <c r="O73" s="85" t="e">
        <f>IF(E73=0,"",N73*I73)</f>
        <v>#N/A</v>
      </c>
      <c r="P73" s="127" t="s">
        <v>71</v>
      </c>
      <c r="Q73" s="127" t="s">
        <v>24</v>
      </c>
      <c r="R73" s="896"/>
      <c r="S73" s="896"/>
      <c r="T73" s="896"/>
      <c r="V73" s="200">
        <v>4.5876124626821202</v>
      </c>
      <c r="W73" s="201">
        <v>1.74</v>
      </c>
      <c r="X73" s="200">
        <v>6.3276124626821204</v>
      </c>
      <c r="Y73" s="202">
        <v>6.3276124626821204</v>
      </c>
    </row>
    <row r="74" spans="1:25" x14ac:dyDescent="0.3">
      <c r="A74" s="886" t="s">
        <v>110</v>
      </c>
      <c r="B74" s="886"/>
      <c r="C74" s="263">
        <f t="shared" ref="C74:I74" si="0">C73</f>
        <v>100</v>
      </c>
      <c r="D74" s="263">
        <f t="shared" si="0"/>
        <v>19</v>
      </c>
      <c r="E74" s="266">
        <f t="shared" si="0"/>
        <v>19</v>
      </c>
      <c r="F74" s="264">
        <f t="shared" si="0"/>
        <v>20</v>
      </c>
      <c r="G74" s="265" t="e">
        <f t="shared" si="0"/>
        <v>#N/A</v>
      </c>
      <c r="H74" s="264">
        <f t="shared" si="0"/>
        <v>5000</v>
      </c>
      <c r="I74" s="265">
        <f t="shared" si="0"/>
        <v>0.05</v>
      </c>
      <c r="J74" s="200" t="e">
        <f>IF(E74=0,"",D86*G74*(((E74+273)^4-(F74+273)^4)/(E74-F74)))</f>
        <v>#N/A</v>
      </c>
      <c r="K74" s="201">
        <f>IF(E74=0,"",1.74*ABS(E74-F74)^0.3333333)</f>
        <v>1.74</v>
      </c>
      <c r="L74" s="200" t="e">
        <f>IF(E74=0,"",J74+K74)</f>
        <v>#N/A</v>
      </c>
      <c r="M74" s="202" t="e">
        <f>ABS(D74-F74)/((E80+E81))</f>
        <v>#N/A</v>
      </c>
      <c r="N74" s="267" t="e">
        <f>IF(E74=0,"",M74*H74*C74/1000)</f>
        <v>#N/A</v>
      </c>
      <c r="O74" s="267" t="e">
        <f>IF(E74=0,"",N74*I74)</f>
        <v>#N/A</v>
      </c>
      <c r="P74" s="85" t="e">
        <f>N73-N74</f>
        <v>#N/A</v>
      </c>
      <c r="Q74" s="85" t="e">
        <f>O73-O74</f>
        <v>#N/A</v>
      </c>
      <c r="R74" s="37"/>
      <c r="S74" s="37"/>
      <c r="T74" s="37"/>
      <c r="V74" s="200">
        <v>4.5876124626821202</v>
      </c>
      <c r="W74" s="201">
        <v>1.74</v>
      </c>
      <c r="X74" s="200">
        <v>6.3276124626821204</v>
      </c>
      <c r="Y74" s="202">
        <v>1.7166535972148909</v>
      </c>
    </row>
    <row r="75" spans="1:25" ht="31.2" x14ac:dyDescent="0.3">
      <c r="A75" s="62"/>
      <c r="B75" s="62"/>
      <c r="C75" s="246"/>
      <c r="D75" s="247"/>
      <c r="E75" s="248"/>
      <c r="F75" s="249"/>
      <c r="G75" s="250"/>
      <c r="H75" s="251"/>
      <c r="I75" s="250"/>
      <c r="J75" s="64"/>
      <c r="K75" s="65"/>
      <c r="L75" s="64"/>
      <c r="M75" s="84" t="s">
        <v>178</v>
      </c>
      <c r="N75" s="331"/>
      <c r="O75" s="331"/>
      <c r="P75" s="129"/>
      <c r="Q75" s="129"/>
      <c r="R75" s="37"/>
      <c r="S75" s="37"/>
      <c r="T75" s="37"/>
    </row>
    <row r="76" spans="1:25" ht="18" x14ac:dyDescent="0.3">
      <c r="A76" s="68"/>
      <c r="B76" s="62"/>
      <c r="C76" s="1008" t="s">
        <v>61</v>
      </c>
      <c r="D76" s="1009"/>
      <c r="E76" s="333">
        <f>(D73+F73)/2</f>
        <v>19.5</v>
      </c>
      <c r="F76" s="269"/>
      <c r="G76" s="63"/>
      <c r="H76" s="63"/>
      <c r="I76" s="63"/>
      <c r="J76" s="64"/>
      <c r="K76" s="65"/>
      <c r="L76" s="64"/>
      <c r="M76" s="81"/>
      <c r="N76" s="81"/>
      <c r="O76" s="81"/>
      <c r="P76" s="334"/>
      <c r="Q76" s="334"/>
      <c r="R76" s="37"/>
      <c r="S76" s="37"/>
      <c r="T76" s="37"/>
    </row>
    <row r="77" spans="1:25" x14ac:dyDescent="0.3">
      <c r="A77" s="62"/>
      <c r="B77" s="62"/>
      <c r="C77" s="940" t="s">
        <v>62</v>
      </c>
      <c r="D77" s="941"/>
      <c r="E77" s="268">
        <f>C90+C91*E76+C92*E76^2+C93*E76^3</f>
        <v>3.6121311097137496E-2</v>
      </c>
      <c r="F77" s="190"/>
      <c r="G77" s="63"/>
      <c r="H77" s="63"/>
      <c r="I77" s="63"/>
      <c r="J77" s="64"/>
      <c r="K77" s="65"/>
      <c r="L77" s="64"/>
      <c r="M77" s="66"/>
      <c r="N77" s="135"/>
      <c r="O77" s="135"/>
      <c r="P77" s="129"/>
      <c r="Q77" s="129"/>
      <c r="R77" s="37"/>
      <c r="S77" s="37"/>
      <c r="T77" s="37"/>
    </row>
    <row r="78" spans="1:25" ht="15" thickBot="1" x14ac:dyDescent="0.35">
      <c r="A78" s="62"/>
      <c r="B78" s="62"/>
      <c r="C78" s="942" t="s">
        <v>66</v>
      </c>
      <c r="D78" s="943"/>
      <c r="E78" s="180">
        <f>E77*C89</f>
        <v>4.6957704426278744E-2</v>
      </c>
      <c r="F78" s="190"/>
      <c r="G78" s="63"/>
      <c r="H78" s="63"/>
      <c r="I78" s="63"/>
      <c r="J78" s="64"/>
      <c r="K78" s="65"/>
      <c r="L78" s="64"/>
      <c r="M78" s="66"/>
      <c r="N78" s="135"/>
      <c r="O78" s="135"/>
      <c r="P78" s="129"/>
      <c r="Q78" s="129"/>
      <c r="R78" s="37"/>
      <c r="S78" s="37"/>
      <c r="T78" s="37"/>
    </row>
    <row r="79" spans="1:25" ht="15" thickBot="1" x14ac:dyDescent="0.35">
      <c r="A79" s="62"/>
      <c r="B79" s="62"/>
      <c r="C79" s="891" t="s">
        <v>64</v>
      </c>
      <c r="D79" s="892"/>
      <c r="E79" s="270">
        <f>IF((D73-F73)&lt;F90,G90/1000,IF((D73-F73)&lt;F91,G91/1000,IF((D73-F73)&lt;F92,(G92/1000),G93/1000)))</f>
        <v>0.02</v>
      </c>
      <c r="F79" s="65" t="s">
        <v>56</v>
      </c>
      <c r="G79" s="63"/>
      <c r="H79" s="63"/>
      <c r="I79" s="63"/>
      <c r="J79" s="64"/>
      <c r="K79" s="65"/>
      <c r="L79" s="64"/>
      <c r="M79" s="66"/>
      <c r="N79" s="129"/>
      <c r="O79" s="129"/>
      <c r="P79" s="135"/>
      <c r="Q79" s="135"/>
      <c r="R79" s="37"/>
      <c r="S79" s="37"/>
      <c r="T79" s="37"/>
    </row>
    <row r="80" spans="1:25" x14ac:dyDescent="0.3">
      <c r="A80" s="62"/>
      <c r="B80" s="62"/>
      <c r="C80" s="917" t="s">
        <v>171</v>
      </c>
      <c r="D80" s="918"/>
      <c r="E80" s="271" t="e">
        <f>1/L73</f>
        <v>#N/A</v>
      </c>
      <c r="F80" s="64" t="s">
        <v>67</v>
      </c>
      <c r="G80" s="63"/>
      <c r="H80" s="63"/>
      <c r="I80" s="63"/>
      <c r="J80" s="64"/>
      <c r="K80" s="65"/>
      <c r="L80" s="64"/>
      <c r="M80" s="967" t="e">
        <f>IF(E82&gt;M74,"insulation recommended","insulation_ok")</f>
        <v>#N/A</v>
      </c>
      <c r="N80" s="968"/>
      <c r="O80" s="968"/>
      <c r="P80" s="968"/>
      <c r="Q80" s="968"/>
      <c r="R80" s="969"/>
      <c r="S80" s="37"/>
      <c r="T80" s="37"/>
    </row>
    <row r="81" spans="1:20" x14ac:dyDescent="0.3">
      <c r="A81" s="62"/>
      <c r="B81" s="62"/>
      <c r="C81" s="917" t="s">
        <v>177</v>
      </c>
      <c r="D81" s="918"/>
      <c r="E81" s="272">
        <f>E79/E78</f>
        <v>0.42591519846118125</v>
      </c>
      <c r="F81" s="65"/>
      <c r="G81" s="63"/>
      <c r="H81" s="63"/>
      <c r="I81" s="63"/>
      <c r="J81" s="64"/>
      <c r="K81" s="65"/>
      <c r="L81" s="64"/>
      <c r="M81" s="970"/>
      <c r="N81" s="971"/>
      <c r="O81" s="971"/>
      <c r="P81" s="971"/>
      <c r="Q81" s="971"/>
      <c r="R81" s="972"/>
      <c r="S81" s="37"/>
      <c r="T81" s="37"/>
    </row>
    <row r="82" spans="1:20" ht="15" thickBot="1" x14ac:dyDescent="0.35">
      <c r="A82" s="62"/>
      <c r="B82" s="62"/>
      <c r="C82" s="919" t="s">
        <v>123</v>
      </c>
      <c r="D82" s="885"/>
      <c r="E82" s="273" t="e">
        <f>M73-(10000*D96/I73/H73)</f>
        <v>#N/A</v>
      </c>
      <c r="F82" s="16" t="s">
        <v>118</v>
      </c>
      <c r="G82" s="63"/>
      <c r="H82" s="63"/>
      <c r="I82" s="63"/>
      <c r="J82" s="64"/>
      <c r="K82" s="65"/>
      <c r="L82" s="64"/>
      <c r="M82" s="973"/>
      <c r="N82" s="974"/>
      <c r="O82" s="974"/>
      <c r="P82" s="974"/>
      <c r="Q82" s="974"/>
      <c r="R82" s="975"/>
      <c r="S82" s="37"/>
      <c r="T82" s="37"/>
    </row>
    <row r="83" spans="1:20" x14ac:dyDescent="0.3">
      <c r="A83" s="62"/>
      <c r="B83" s="62"/>
      <c r="C83" s="62"/>
      <c r="D83" s="63"/>
      <c r="E83" s="64"/>
      <c r="F83" s="63"/>
      <c r="G83" s="63"/>
      <c r="H83" s="63"/>
      <c r="I83" s="63"/>
      <c r="J83" s="64"/>
      <c r="K83" s="65"/>
      <c r="L83" s="64"/>
      <c r="M83" s="66"/>
      <c r="N83" s="129"/>
      <c r="O83" s="129"/>
      <c r="P83" s="135"/>
      <c r="Q83" s="135"/>
      <c r="R83" s="37"/>
      <c r="S83" s="37"/>
      <c r="T83" s="37"/>
    </row>
    <row r="84" spans="1:20" ht="15" thickBot="1" x14ac:dyDescent="0.35">
      <c r="A84" s="922" t="s">
        <v>119</v>
      </c>
      <c r="B84" s="922"/>
      <c r="C84" s="922"/>
      <c r="D84" s="922"/>
      <c r="E84" s="922"/>
      <c r="F84" s="922"/>
      <c r="G84" s="922"/>
      <c r="H84" s="922"/>
      <c r="I84" s="922"/>
      <c r="J84" s="922"/>
      <c r="K84" s="922"/>
      <c r="L84" s="922"/>
      <c r="M84" s="922"/>
      <c r="N84" s="922"/>
      <c r="O84" s="922"/>
      <c r="P84" s="922"/>
      <c r="Q84" s="922"/>
      <c r="R84" s="922"/>
      <c r="S84" s="922"/>
      <c r="T84" s="922"/>
    </row>
    <row r="85" spans="1:20" ht="15" thickBot="1" x14ac:dyDescent="0.35">
      <c r="A85" s="928" t="s">
        <v>174</v>
      </c>
      <c r="B85" s="921"/>
      <c r="C85" s="921"/>
      <c r="D85" s="262">
        <v>3.1415999999999999</v>
      </c>
      <c r="E85" s="138"/>
      <c r="F85" s="138"/>
      <c r="G85" s="138"/>
      <c r="H85" s="138"/>
      <c r="I85" s="138"/>
      <c r="J85" s="139"/>
      <c r="K85" s="140"/>
      <c r="L85" s="139"/>
      <c r="M85" s="141"/>
      <c r="N85" s="157"/>
      <c r="O85" s="157"/>
      <c r="P85" s="143"/>
      <c r="Q85" s="143"/>
      <c r="R85" s="144"/>
      <c r="S85" s="144"/>
      <c r="T85" s="144"/>
    </row>
    <row r="86" spans="1:20" ht="15" thickBot="1" x14ac:dyDescent="0.35">
      <c r="A86" s="920" t="s">
        <v>90</v>
      </c>
      <c r="B86" s="921"/>
      <c r="C86" s="921"/>
      <c r="D86" s="279">
        <v>5.6703669999999997E-8</v>
      </c>
      <c r="E86" s="138"/>
      <c r="F86" s="138"/>
      <c r="G86" s="138"/>
      <c r="H86" s="138"/>
      <c r="I86" s="138"/>
      <c r="J86" s="139"/>
      <c r="K86" s="140"/>
      <c r="L86" s="139"/>
      <c r="M86" s="141"/>
      <c r="N86" s="157"/>
      <c r="O86" s="157"/>
      <c r="P86" s="143"/>
      <c r="Q86" s="143"/>
      <c r="R86" s="144"/>
      <c r="S86" s="144"/>
      <c r="T86" s="144"/>
    </row>
    <row r="87" spans="1:20" ht="15" thickBot="1" x14ac:dyDescent="0.35">
      <c r="A87" s="126"/>
      <c r="B87" s="280"/>
      <c r="C87" s="280"/>
      <c r="D87" s="156"/>
      <c r="E87" s="138"/>
      <c r="F87" s="138"/>
      <c r="G87" s="138"/>
      <c r="H87" s="138"/>
      <c r="I87" s="138"/>
      <c r="J87" s="139"/>
      <c r="K87" s="140"/>
      <c r="L87" s="139"/>
      <c r="M87" s="141"/>
      <c r="N87" s="157"/>
      <c r="O87" s="157"/>
      <c r="P87" s="143"/>
      <c r="Q87" s="143"/>
      <c r="R87" s="144"/>
      <c r="S87" s="144"/>
      <c r="T87" s="144"/>
    </row>
    <row r="88" spans="1:20" ht="15" thickBot="1" x14ac:dyDescent="0.35">
      <c r="A88" s="137"/>
      <c r="B88" s="923" t="s">
        <v>120</v>
      </c>
      <c r="C88" s="924"/>
      <c r="D88" s="137"/>
      <c r="E88" s="925" t="s">
        <v>122</v>
      </c>
      <c r="F88" s="926"/>
      <c r="G88" s="927"/>
      <c r="H88" s="138"/>
      <c r="I88" s="138"/>
      <c r="J88" s="139"/>
      <c r="K88" s="140"/>
      <c r="L88" s="139"/>
      <c r="M88" s="141"/>
      <c r="N88" s="157"/>
      <c r="O88" s="157"/>
      <c r="P88" s="143"/>
      <c r="Q88" s="143"/>
      <c r="R88" s="144"/>
      <c r="S88" s="144"/>
      <c r="T88" s="144"/>
    </row>
    <row r="89" spans="1:20" ht="15" thickBot="1" x14ac:dyDescent="0.35">
      <c r="A89" s="126"/>
      <c r="B89" s="98" t="s">
        <v>63</v>
      </c>
      <c r="C89" s="258">
        <v>1.3</v>
      </c>
      <c r="D89" s="138"/>
      <c r="E89" s="75"/>
      <c r="F89" s="76" t="s">
        <v>75</v>
      </c>
      <c r="G89" s="105" t="s">
        <v>54</v>
      </c>
      <c r="H89" s="138"/>
      <c r="I89" s="139"/>
      <c r="J89" s="140"/>
      <c r="K89" s="139"/>
      <c r="L89" s="141"/>
      <c r="M89" s="157"/>
      <c r="N89" s="157"/>
      <c r="O89" s="143"/>
      <c r="P89" s="143"/>
      <c r="Q89" s="144"/>
      <c r="R89" s="144"/>
      <c r="S89" s="144"/>
      <c r="T89" s="145"/>
    </row>
    <row r="90" spans="1:20" x14ac:dyDescent="0.3">
      <c r="A90" s="126"/>
      <c r="B90" s="73" t="s">
        <v>57</v>
      </c>
      <c r="C90" s="96">
        <f>0.0338</f>
        <v>3.3799999999999997E-2</v>
      </c>
      <c r="D90" s="138"/>
      <c r="E90" s="77" t="s">
        <v>91</v>
      </c>
      <c r="F90" s="245">
        <v>80</v>
      </c>
      <c r="G90" s="104">
        <v>20</v>
      </c>
      <c r="H90" s="138"/>
      <c r="I90" s="139"/>
      <c r="J90" s="140"/>
      <c r="K90" s="139"/>
      <c r="L90" s="141"/>
      <c r="M90" s="157"/>
      <c r="N90" s="157"/>
      <c r="O90" s="143"/>
      <c r="P90" s="143"/>
      <c r="Q90" s="144"/>
      <c r="R90" s="144"/>
      <c r="S90" s="144"/>
      <c r="T90" s="145"/>
    </row>
    <row r="91" spans="1:20" x14ac:dyDescent="0.3">
      <c r="A91" s="126"/>
      <c r="B91" s="73" t="s">
        <v>58</v>
      </c>
      <c r="C91" s="96">
        <v>1.1730000000000001E-4</v>
      </c>
      <c r="D91" s="138"/>
      <c r="E91" s="77" t="s">
        <v>91</v>
      </c>
      <c r="F91" s="245">
        <v>150</v>
      </c>
      <c r="G91" s="104">
        <v>50</v>
      </c>
      <c r="H91" s="138"/>
      <c r="I91" s="139"/>
      <c r="J91" s="140"/>
      <c r="K91" s="139"/>
      <c r="L91" s="141"/>
      <c r="M91" s="157"/>
      <c r="N91" s="157"/>
      <c r="O91" s="143"/>
      <c r="P91" s="143"/>
      <c r="Q91" s="144"/>
      <c r="R91" s="144"/>
      <c r="S91" s="144"/>
      <c r="T91" s="145"/>
    </row>
    <row r="92" spans="1:20" x14ac:dyDescent="0.3">
      <c r="A92" s="126"/>
      <c r="B92" s="73" t="s">
        <v>59</v>
      </c>
      <c r="C92" s="96">
        <v>7.5450000000000004E-8</v>
      </c>
      <c r="D92" s="138"/>
      <c r="E92" s="77" t="s">
        <v>91</v>
      </c>
      <c r="F92" s="245">
        <v>250</v>
      </c>
      <c r="G92" s="104">
        <v>80</v>
      </c>
      <c r="H92" s="138"/>
      <c r="I92" s="139"/>
      <c r="J92" s="140"/>
      <c r="K92" s="139"/>
      <c r="L92" s="141"/>
      <c r="M92" s="157"/>
      <c r="N92" s="157"/>
      <c r="O92" s="143"/>
      <c r="P92" s="143"/>
      <c r="Q92" s="144"/>
      <c r="R92" s="144"/>
      <c r="S92" s="144"/>
      <c r="T92" s="145"/>
    </row>
    <row r="93" spans="1:20" ht="15" thickBot="1" x14ac:dyDescent="0.35">
      <c r="A93" s="72"/>
      <c r="B93" s="74" t="s">
        <v>60</v>
      </c>
      <c r="C93" s="97">
        <v>7.109E-10</v>
      </c>
      <c r="D93" s="138"/>
      <c r="E93" s="77" t="s">
        <v>91</v>
      </c>
      <c r="F93" s="245"/>
      <c r="G93" s="104">
        <v>100</v>
      </c>
      <c r="H93" s="139"/>
      <c r="I93" s="141"/>
      <c r="J93" s="145"/>
      <c r="K93" s="145"/>
      <c r="L93" s="143"/>
      <c r="M93" s="143"/>
      <c r="N93" s="145"/>
      <c r="O93" s="143"/>
      <c r="P93" s="146"/>
      <c r="Q93" s="144"/>
      <c r="R93" s="144"/>
      <c r="S93" s="144"/>
      <c r="T93" s="145"/>
    </row>
    <row r="94" spans="1:20" x14ac:dyDescent="0.3">
      <c r="A94" s="72"/>
      <c r="B94" s="155"/>
      <c r="C94" s="156"/>
      <c r="D94" s="138"/>
      <c r="E94" s="138"/>
      <c r="F94" s="139"/>
      <c r="G94" s="140"/>
      <c r="H94" s="139"/>
      <c r="I94" s="141"/>
      <c r="J94" s="145"/>
      <c r="K94" s="145"/>
      <c r="L94" s="143"/>
      <c r="M94" s="143"/>
      <c r="N94" s="145"/>
      <c r="O94" s="916" t="s">
        <v>153</v>
      </c>
      <c r="P94" s="916"/>
      <c r="Q94" s="916"/>
      <c r="R94" s="916"/>
      <c r="S94" s="916"/>
      <c r="T94" s="916"/>
    </row>
    <row r="95" spans="1:20" x14ac:dyDescent="0.3">
      <c r="A95" s="72"/>
      <c r="B95" s="159"/>
      <c r="C95" s="160"/>
      <c r="D95" s="161"/>
      <c r="E95" s="159"/>
      <c r="F95" s="159"/>
      <c r="G95" s="159"/>
      <c r="H95" s="139"/>
      <c r="I95" s="141"/>
      <c r="J95" s="145"/>
      <c r="K95" s="145"/>
      <c r="L95" s="143"/>
      <c r="M95" s="143"/>
      <c r="N95" s="145"/>
      <c r="O95" s="906" t="s">
        <v>154</v>
      </c>
      <c r="P95" s="906"/>
      <c r="Q95" s="906"/>
      <c r="R95" s="242">
        <v>80</v>
      </c>
      <c r="S95" s="204" t="s">
        <v>72</v>
      </c>
      <c r="T95" s="205"/>
    </row>
    <row r="96" spans="1:20" x14ac:dyDescent="0.3">
      <c r="A96" s="274"/>
      <c r="B96" s="275" t="s">
        <v>147</v>
      </c>
      <c r="C96" s="276"/>
      <c r="D96" s="277">
        <v>1.6</v>
      </c>
      <c r="E96" s="159"/>
      <c r="F96" s="159"/>
      <c r="G96" s="159"/>
      <c r="H96" s="139"/>
      <c r="I96" s="141"/>
      <c r="J96" s="145"/>
      <c r="K96" s="96"/>
      <c r="L96" s="143"/>
      <c r="M96" s="143"/>
      <c r="N96" s="145"/>
      <c r="O96" s="906" t="s">
        <v>155</v>
      </c>
      <c r="P96" s="906"/>
      <c r="Q96" s="906"/>
      <c r="R96" s="242">
        <v>150</v>
      </c>
      <c r="S96" s="204" t="s">
        <v>156</v>
      </c>
      <c r="T96" s="205"/>
    </row>
    <row r="97" spans="1:20" x14ac:dyDescent="0.3">
      <c r="A97" s="274"/>
      <c r="B97" s="275" t="s">
        <v>148</v>
      </c>
      <c r="C97" s="276"/>
      <c r="D97" s="277">
        <v>3</v>
      </c>
      <c r="E97" s="159"/>
      <c r="F97" s="159"/>
      <c r="G97" s="159"/>
      <c r="H97" s="139"/>
      <c r="I97" s="141"/>
      <c r="J97" s="145"/>
      <c r="K97" s="145"/>
      <c r="L97" s="143"/>
      <c r="M97" s="143"/>
      <c r="N97" s="145"/>
      <c r="O97" s="906" t="s">
        <v>74</v>
      </c>
      <c r="P97" s="906"/>
      <c r="Q97" s="906"/>
      <c r="R97" s="242">
        <v>5</v>
      </c>
      <c r="S97" s="204" t="s">
        <v>73</v>
      </c>
      <c r="T97" s="205"/>
    </row>
    <row r="98" spans="1:20" x14ac:dyDescent="0.3">
      <c r="A98" s="907" t="s">
        <v>96</v>
      </c>
      <c r="B98" s="907"/>
      <c r="C98" s="907"/>
      <c r="D98" s="278">
        <v>55</v>
      </c>
      <c r="E98" s="163" t="s">
        <v>23</v>
      </c>
      <c r="F98" s="139"/>
      <c r="G98" s="140"/>
      <c r="H98" s="139"/>
      <c r="I98" s="141"/>
      <c r="J98" s="145"/>
      <c r="K98" s="145"/>
      <c r="L98" s="143"/>
      <c r="M98" s="143"/>
      <c r="N98" s="145"/>
      <c r="O98" s="906" t="s">
        <v>157</v>
      </c>
      <c r="P98" s="906"/>
      <c r="Q98" s="906"/>
      <c r="R98" s="243">
        <f>0.1*R95/R97</f>
        <v>1.6</v>
      </c>
      <c r="S98" s="204"/>
      <c r="T98" s="205"/>
    </row>
    <row r="99" spans="1:20" x14ac:dyDescent="0.3">
      <c r="A99" s="72"/>
      <c r="B99" s="155"/>
      <c r="C99" s="156"/>
      <c r="D99" s="138"/>
      <c r="E99" s="138"/>
      <c r="F99" s="139"/>
      <c r="G99" s="140"/>
      <c r="H99" s="139"/>
      <c r="I99" s="141"/>
      <c r="J99" s="145"/>
      <c r="K99" s="145"/>
      <c r="L99" s="143"/>
      <c r="M99" s="143"/>
      <c r="N99" s="145"/>
      <c r="O99" s="906" t="s">
        <v>158</v>
      </c>
      <c r="P99" s="906"/>
      <c r="Q99" s="906"/>
      <c r="R99" s="244">
        <f>0.1*R96/R97</f>
        <v>3</v>
      </c>
      <c r="S99" s="206"/>
      <c r="T99" s="205"/>
    </row>
    <row r="100" spans="1:20" x14ac:dyDescent="0.3">
      <c r="A100" s="72"/>
      <c r="B100" s="155"/>
      <c r="C100" s="156"/>
      <c r="D100" s="138"/>
      <c r="E100" s="138"/>
      <c r="F100" s="139"/>
      <c r="G100" s="140"/>
      <c r="H100" s="139"/>
      <c r="I100" s="141"/>
      <c r="J100" s="145"/>
      <c r="K100" s="145"/>
      <c r="L100" s="143"/>
      <c r="M100" s="143"/>
      <c r="N100" s="145"/>
      <c r="O100" s="259"/>
      <c r="P100" s="260"/>
      <c r="Q100" s="261"/>
      <c r="R100" s="261"/>
      <c r="S100" s="261"/>
      <c r="T100" s="205"/>
    </row>
  </sheetData>
  <mergeCells count="80">
    <mergeCell ref="B2:D2"/>
    <mergeCell ref="O2:P2"/>
    <mergeCell ref="C4:D7"/>
    <mergeCell ref="F4:G7"/>
    <mergeCell ref="I4:J7"/>
    <mergeCell ref="L4:M7"/>
    <mergeCell ref="O4:P7"/>
    <mergeCell ref="V6:W9"/>
    <mergeCell ref="C8:D8"/>
    <mergeCell ref="F8:G8"/>
    <mergeCell ref="I8:J8"/>
    <mergeCell ref="L8:M8"/>
    <mergeCell ref="O8:P8"/>
    <mergeCell ref="V10:W11"/>
    <mergeCell ref="C12:D15"/>
    <mergeCell ref="F12:G15"/>
    <mergeCell ref="O12:P15"/>
    <mergeCell ref="C16:D16"/>
    <mergeCell ref="F16:G16"/>
    <mergeCell ref="I16:J17"/>
    <mergeCell ref="L16:M17"/>
    <mergeCell ref="O16:P17"/>
    <mergeCell ref="C24:D25"/>
    <mergeCell ref="F24:G25"/>
    <mergeCell ref="I24:J25"/>
    <mergeCell ref="C44:E45"/>
    <mergeCell ref="G44:J48"/>
    <mergeCell ref="N44:O45"/>
    <mergeCell ref="K47:M48"/>
    <mergeCell ref="N47:O48"/>
    <mergeCell ref="P47:P48"/>
    <mergeCell ref="C52:E53"/>
    <mergeCell ref="F52:G53"/>
    <mergeCell ref="H52:H53"/>
    <mergeCell ref="M53:N56"/>
    <mergeCell ref="O53:P54"/>
    <mergeCell ref="K44:M45"/>
    <mergeCell ref="Q53:R54"/>
    <mergeCell ref="O55:P56"/>
    <mergeCell ref="Q55:R56"/>
    <mergeCell ref="C56:E57"/>
    <mergeCell ref="F56:G57"/>
    <mergeCell ref="M57:N60"/>
    <mergeCell ref="O57:P58"/>
    <mergeCell ref="Q57:R58"/>
    <mergeCell ref="O59:P60"/>
    <mergeCell ref="Q59:R60"/>
    <mergeCell ref="C60:E61"/>
    <mergeCell ref="F60:G61"/>
    <mergeCell ref="H60:H61"/>
    <mergeCell ref="C64:E65"/>
    <mergeCell ref="F64:G65"/>
    <mergeCell ref="H64:H65"/>
    <mergeCell ref="M64:P66"/>
    <mergeCell ref="P71:Q71"/>
    <mergeCell ref="A72:B72"/>
    <mergeCell ref="R72:T72"/>
    <mergeCell ref="A73:B73"/>
    <mergeCell ref="R73:T73"/>
    <mergeCell ref="A86:C86"/>
    <mergeCell ref="A74:B74"/>
    <mergeCell ref="C76:D76"/>
    <mergeCell ref="C77:D77"/>
    <mergeCell ref="C78:D78"/>
    <mergeCell ref="C79:D79"/>
    <mergeCell ref="C80:D80"/>
    <mergeCell ref="M80:R82"/>
    <mergeCell ref="C81:D81"/>
    <mergeCell ref="C82:D82"/>
    <mergeCell ref="A84:T84"/>
    <mergeCell ref="A85:C85"/>
    <mergeCell ref="A98:C98"/>
    <mergeCell ref="O98:Q98"/>
    <mergeCell ref="O99:Q99"/>
    <mergeCell ref="B88:C88"/>
    <mergeCell ref="E88:G88"/>
    <mergeCell ref="O94:T94"/>
    <mergeCell ref="O95:Q95"/>
    <mergeCell ref="O96:Q96"/>
    <mergeCell ref="O97:Q97"/>
  </mergeCells>
  <conditionalFormatting sqref="F64:G65">
    <cfRule type="cellIs" dxfId="2" priority="1" operator="greaterThan">
      <formula>55</formula>
    </cfRule>
  </conditionalFormatting>
  <dataValidations count="1">
    <dataValidation type="list" allowBlank="1" showInputMessage="1" showErrorMessage="1" promptTitle="Select a value " sqref="F56" xr:uid="{1A14D32D-FEE2-4171-927B-468AABDD73BF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0AE768A-B93C-4E9C-B171-951E903ABF23}">
          <x14:formula1>
            <xm:f>'Default values '!$C$2:$C$10</xm:f>
          </x14:formula1>
          <xm:sqref>N44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1BBB11-E059-43DA-BA6C-C502D18271BD}">
  <dimension ref="A1:Z45"/>
  <sheetViews>
    <sheetView workbookViewId="0"/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327"/>
      <c r="B1" s="327"/>
      <c r="C1" s="327"/>
      <c r="D1" s="327"/>
      <c r="E1" s="327"/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</row>
    <row r="2" spans="1:26" ht="15" customHeight="1" x14ac:dyDescent="0.3">
      <c r="A2" s="327"/>
      <c r="B2" s="15"/>
      <c r="C2" s="15"/>
      <c r="D2" s="15"/>
      <c r="E2" s="15"/>
      <c r="F2" s="15"/>
      <c r="G2" s="327"/>
      <c r="H2" s="327"/>
      <c r="I2" s="327"/>
      <c r="J2" s="327"/>
      <c r="K2" s="327"/>
      <c r="L2" s="327"/>
      <c r="M2" s="327"/>
      <c r="N2" s="327"/>
      <c r="O2" s="327"/>
      <c r="P2" s="327"/>
      <c r="Q2" s="327"/>
      <c r="R2" s="327"/>
      <c r="S2" s="327"/>
    </row>
    <row r="3" spans="1:26" ht="7.8" customHeight="1" x14ac:dyDescent="0.3">
      <c r="A3" s="32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7"/>
    </row>
    <row r="4" spans="1:26" ht="5.4" customHeight="1" x14ac:dyDescent="0.3">
      <c r="A4" s="327"/>
      <c r="B4" s="327"/>
      <c r="C4" s="327"/>
      <c r="D4" s="327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  <c r="Q4" s="327"/>
      <c r="R4" s="327"/>
      <c r="S4" s="327"/>
      <c r="T4" s="24"/>
    </row>
    <row r="5" spans="1:26" s="23" customFormat="1" ht="15" customHeight="1" x14ac:dyDescent="0.3">
      <c r="A5" s="26"/>
      <c r="B5" s="28"/>
      <c r="C5" s="864" t="s">
        <v>16</v>
      </c>
      <c r="D5" s="864"/>
      <c r="E5" s="864"/>
      <c r="F5" s="32" t="s">
        <v>40</v>
      </c>
      <c r="G5" s="284" t="s">
        <v>184</v>
      </c>
      <c r="H5" s="284"/>
      <c r="I5" s="284"/>
      <c r="J5" s="284"/>
      <c r="K5" s="866" t="s">
        <v>15</v>
      </c>
      <c r="L5" s="866"/>
      <c r="M5" s="866"/>
      <c r="N5" s="908" t="s">
        <v>20</v>
      </c>
      <c r="O5" s="908"/>
      <c r="P5" s="32">
        <f>VLOOKUP(N5,'Default values '!C2:D10,2,TRUE)</f>
        <v>7000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327"/>
      <c r="B6" s="14"/>
      <c r="C6" s="864"/>
      <c r="D6" s="864"/>
      <c r="E6" s="864"/>
      <c r="F6" s="32"/>
      <c r="G6" s="284"/>
      <c r="H6" s="284"/>
      <c r="I6" s="284"/>
      <c r="J6" s="284"/>
      <c r="K6" s="866"/>
      <c r="L6" s="866"/>
      <c r="M6" s="866"/>
      <c r="N6" s="908"/>
      <c r="O6" s="908"/>
      <c r="P6" s="14"/>
      <c r="Q6" s="14"/>
      <c r="R6" s="14"/>
      <c r="S6" s="14"/>
    </row>
    <row r="7" spans="1:26" ht="15" customHeight="1" x14ac:dyDescent="0.35">
      <c r="A7" s="327"/>
      <c r="B7" s="14"/>
      <c r="C7" s="328"/>
      <c r="D7" s="328"/>
      <c r="E7" s="328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327"/>
      <c r="B8" s="14"/>
      <c r="C8" s="328"/>
      <c r="D8" s="328"/>
      <c r="E8" s="328"/>
      <c r="F8" s="47"/>
      <c r="G8" s="285"/>
      <c r="H8" s="285"/>
      <c r="I8" s="285"/>
      <c r="J8" s="285"/>
      <c r="K8" s="866" t="s">
        <v>42</v>
      </c>
      <c r="L8" s="866"/>
      <c r="M8" s="866"/>
      <c r="N8" s="898">
        <v>90</v>
      </c>
      <c r="O8" s="898"/>
      <c r="P8" s="869" t="s">
        <v>23</v>
      </c>
      <c r="Q8" s="14"/>
      <c r="R8" s="14"/>
      <c r="S8" s="14"/>
    </row>
    <row r="9" spans="1:26" s="23" customFormat="1" ht="15" customHeight="1" x14ac:dyDescent="0.35">
      <c r="A9" s="327"/>
      <c r="B9" s="14"/>
      <c r="C9" s="328"/>
      <c r="D9" s="328"/>
      <c r="E9" s="328"/>
      <c r="F9" s="47"/>
      <c r="G9" s="285"/>
      <c r="H9" s="285"/>
      <c r="I9" s="285"/>
      <c r="J9" s="285"/>
      <c r="K9" s="866"/>
      <c r="L9" s="866"/>
      <c r="M9" s="866"/>
      <c r="N9" s="898"/>
      <c r="O9" s="898"/>
      <c r="P9" s="869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5">
      <c r="A10" s="327"/>
      <c r="B10" s="14"/>
      <c r="C10" s="328"/>
      <c r="D10" s="328"/>
      <c r="E10" s="328"/>
      <c r="F10" s="47"/>
      <c r="G10" s="47"/>
      <c r="H10" s="4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</row>
    <row r="11" spans="1:26" ht="15" customHeight="1" thickBot="1" x14ac:dyDescent="0.4">
      <c r="A11" s="327"/>
      <c r="B11" s="14"/>
      <c r="C11" s="14"/>
      <c r="D11" s="14"/>
      <c r="E11" s="14"/>
      <c r="F11" s="14"/>
      <c r="G11" s="14"/>
      <c r="H11" s="14"/>
      <c r="I11" s="327"/>
      <c r="J11" s="327"/>
      <c r="K11" s="327"/>
      <c r="L11" s="327"/>
      <c r="M11" s="327"/>
      <c r="N11" s="327"/>
      <c r="O11" s="327"/>
      <c r="P11" s="327"/>
      <c r="Q11" s="327"/>
      <c r="R11" s="327"/>
      <c r="S11" s="327"/>
    </row>
    <row r="12" spans="1:26" ht="15" customHeight="1" thickTop="1" x14ac:dyDescent="0.35">
      <c r="A12" s="327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7"/>
      <c r="M12" s="15"/>
      <c r="N12" s="15"/>
      <c r="O12" s="15"/>
      <c r="P12" s="15"/>
      <c r="Q12" s="15"/>
      <c r="R12" s="15"/>
      <c r="S12" s="327"/>
    </row>
    <row r="13" spans="1:26" s="23" customFormat="1" ht="15" customHeight="1" x14ac:dyDescent="0.3">
      <c r="A13" s="26"/>
      <c r="B13" s="31"/>
      <c r="C13" s="869" t="s">
        <v>198</v>
      </c>
      <c r="D13" s="869"/>
      <c r="E13" s="869"/>
      <c r="F13" s="1061">
        <v>23</v>
      </c>
      <c r="G13" s="869" t="s">
        <v>199</v>
      </c>
      <c r="H13" s="1062" t="s">
        <v>200</v>
      </c>
      <c r="I13" s="1076"/>
      <c r="J13" s="1062" t="s">
        <v>170</v>
      </c>
      <c r="K13" s="1076"/>
      <c r="L13" s="26"/>
      <c r="M13" s="1059" t="e">
        <f>IF(H17="","",E35)</f>
        <v>#N/A</v>
      </c>
      <c r="N13" s="1059"/>
      <c r="O13" s="1059"/>
      <c r="P13" s="1059"/>
      <c r="Q13" s="1059"/>
      <c r="R13" s="1059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327"/>
      <c r="B14" s="8"/>
      <c r="C14" s="869"/>
      <c r="D14" s="869"/>
      <c r="E14" s="869"/>
      <c r="F14" s="1061"/>
      <c r="G14" s="869"/>
      <c r="H14" s="866"/>
      <c r="I14" s="1076"/>
      <c r="J14" s="866"/>
      <c r="K14" s="1076"/>
      <c r="L14" s="26"/>
      <c r="M14" s="1059"/>
      <c r="N14" s="1059"/>
      <c r="O14" s="1059"/>
      <c r="P14" s="1059"/>
      <c r="Q14" s="1059"/>
      <c r="R14" s="1059"/>
      <c r="S14" s="327"/>
    </row>
    <row r="15" spans="1:26" ht="15" customHeight="1" x14ac:dyDescent="0.3">
      <c r="A15" s="327"/>
      <c r="B15" s="8"/>
      <c r="C15" s="327"/>
      <c r="D15" s="327"/>
      <c r="E15" s="327"/>
      <c r="F15" s="33"/>
      <c r="G15" s="33"/>
      <c r="H15" s="327"/>
      <c r="I15" s="15"/>
      <c r="J15" s="15"/>
      <c r="K15" s="45"/>
      <c r="L15" s="15"/>
      <c r="M15" s="1059"/>
      <c r="N15" s="1059"/>
      <c r="O15" s="1059"/>
      <c r="P15" s="1059"/>
      <c r="Q15" s="1059"/>
      <c r="R15" s="1059"/>
      <c r="S15" s="327"/>
    </row>
    <row r="16" spans="1:26" ht="15" customHeight="1" x14ac:dyDescent="0.3">
      <c r="A16" s="327"/>
      <c r="B16" s="8"/>
      <c r="C16" s="327"/>
      <c r="D16" s="327"/>
      <c r="E16" s="327"/>
      <c r="F16" s="33"/>
      <c r="G16" s="33"/>
      <c r="H16" s="327"/>
      <c r="I16" s="27"/>
      <c r="J16" s="27"/>
      <c r="K16" s="45"/>
      <c r="L16" s="27"/>
      <c r="M16" s="1060" t="e">
        <f>IF(H17="","",E37)</f>
        <v>#N/A</v>
      </c>
      <c r="N16" s="1060"/>
      <c r="O16" s="1060"/>
      <c r="P16" s="1060"/>
      <c r="Q16" s="1060"/>
      <c r="R16" s="1060"/>
      <c r="S16" s="327"/>
    </row>
    <row r="17" spans="1:26" s="23" customFormat="1" ht="15" customHeight="1" x14ac:dyDescent="0.3">
      <c r="A17" s="26"/>
      <c r="B17" s="31"/>
      <c r="C17" s="869" t="s">
        <v>109</v>
      </c>
      <c r="D17" s="869"/>
      <c r="E17" s="869"/>
      <c r="F17" s="908" t="s">
        <v>9</v>
      </c>
      <c r="G17" s="908"/>
      <c r="H17" s="52" t="e">
        <f>IF(F17="","",VLOOKUP(F17,'Default values '!A2:B7,2,FALSE))</f>
        <v>#N/A</v>
      </c>
      <c r="I17" s="27"/>
      <c r="J17" s="27"/>
      <c r="K17" s="51"/>
      <c r="L17" s="27"/>
      <c r="M17" s="1060"/>
      <c r="N17" s="1060"/>
      <c r="O17" s="1060"/>
      <c r="P17" s="1060"/>
      <c r="Q17" s="1060"/>
      <c r="R17" s="1060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327"/>
      <c r="B18" s="8"/>
      <c r="C18" s="869"/>
      <c r="D18" s="869"/>
      <c r="E18" s="869"/>
      <c r="F18" s="908"/>
      <c r="G18" s="908"/>
      <c r="H18" s="15"/>
      <c r="I18" s="327"/>
      <c r="J18" s="327"/>
      <c r="K18" s="9"/>
      <c r="L18" s="327"/>
      <c r="M18" s="1060"/>
      <c r="N18" s="1060"/>
      <c r="O18" s="1060"/>
      <c r="P18" s="1060"/>
      <c r="Q18" s="1060"/>
      <c r="R18" s="1060"/>
      <c r="S18" s="327"/>
    </row>
    <row r="19" spans="1:26" ht="15" customHeight="1" x14ac:dyDescent="0.3">
      <c r="A19" s="327"/>
      <c r="B19" s="8"/>
      <c r="C19" s="15"/>
      <c r="D19" s="15"/>
      <c r="E19" s="15"/>
      <c r="F19" s="33"/>
      <c r="G19" s="33"/>
      <c r="H19" s="15"/>
      <c r="I19" s="327"/>
      <c r="J19" s="327"/>
      <c r="K19" s="9"/>
      <c r="L19" s="327"/>
      <c r="M19" s="355"/>
      <c r="N19" s="355"/>
      <c r="O19" s="355"/>
      <c r="P19" s="355"/>
      <c r="Q19" s="355"/>
      <c r="R19" s="355"/>
      <c r="S19" s="327"/>
    </row>
    <row r="20" spans="1:26" ht="15" customHeight="1" x14ac:dyDescent="0.3">
      <c r="A20" s="327"/>
      <c r="B20" s="8"/>
      <c r="C20" s="869" t="s">
        <v>228</v>
      </c>
      <c r="D20" s="869"/>
      <c r="E20" s="327"/>
      <c r="F20" s="1074" t="s">
        <v>202</v>
      </c>
      <c r="G20" s="1073" t="s">
        <v>203</v>
      </c>
      <c r="H20" s="327"/>
      <c r="I20" s="327"/>
      <c r="J20" s="327"/>
      <c r="K20" s="9"/>
      <c r="L20" s="327"/>
      <c r="M20" s="355"/>
      <c r="N20" s="355"/>
      <c r="O20" s="355"/>
      <c r="P20" s="355"/>
      <c r="Q20" s="355"/>
      <c r="R20" s="355"/>
      <c r="S20" s="327"/>
    </row>
    <row r="21" spans="1:26" s="23" customFormat="1" ht="15" customHeight="1" x14ac:dyDescent="0.3">
      <c r="A21" s="26"/>
      <c r="B21" s="31"/>
      <c r="C21" s="869"/>
      <c r="D21" s="869"/>
      <c r="E21" s="19"/>
      <c r="F21" s="1074"/>
      <c r="G21" s="1073"/>
      <c r="H21" s="869"/>
      <c r="I21" s="26"/>
      <c r="J21" s="26"/>
      <c r="K21" s="51"/>
      <c r="L21" s="26"/>
      <c r="M21" s="355"/>
      <c r="N21" s="355"/>
      <c r="O21" s="355"/>
      <c r="P21" s="355"/>
      <c r="Q21" s="355"/>
      <c r="R21" s="355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327"/>
      <c r="B22" s="8"/>
      <c r="C22" s="869" t="s">
        <v>231</v>
      </c>
      <c r="D22" s="869"/>
      <c r="E22" s="19"/>
      <c r="F22" s="1073" t="s">
        <v>202</v>
      </c>
      <c r="G22" s="1074" t="s">
        <v>203</v>
      </c>
      <c r="H22" s="869"/>
      <c r="I22" s="327"/>
      <c r="J22" s="327"/>
      <c r="K22" s="9"/>
      <c r="L22" s="327"/>
      <c r="M22" s="46"/>
      <c r="N22" s="46"/>
      <c r="O22" s="46"/>
      <c r="P22" s="46"/>
      <c r="Q22" s="46"/>
      <c r="R22" s="46"/>
      <c r="S22" s="327"/>
    </row>
    <row r="23" spans="1:26" ht="15" customHeight="1" x14ac:dyDescent="0.3">
      <c r="A23" s="327"/>
      <c r="B23" s="8"/>
      <c r="C23" s="869"/>
      <c r="D23" s="869"/>
      <c r="E23" s="327"/>
      <c r="F23" s="1073"/>
      <c r="G23" s="1074"/>
      <c r="H23" s="18"/>
      <c r="I23" s="19"/>
      <c r="J23" s="19"/>
      <c r="K23" s="45"/>
      <c r="L23" s="327"/>
      <c r="M23" s="50"/>
      <c r="N23" s="48"/>
      <c r="O23" s="48"/>
      <c r="P23" s="48"/>
      <c r="Q23" s="48"/>
      <c r="R23" s="48"/>
      <c r="S23" s="327"/>
    </row>
    <row r="24" spans="1:26" ht="15" customHeight="1" x14ac:dyDescent="0.3">
      <c r="A24" s="327"/>
      <c r="B24" s="8"/>
      <c r="C24" s="869"/>
      <c r="D24" s="869"/>
      <c r="E24" s="19"/>
      <c r="F24" s="1073"/>
      <c r="G24" s="1074"/>
      <c r="H24" s="19"/>
      <c r="I24" s="19"/>
      <c r="J24" s="19"/>
      <c r="K24" s="45"/>
      <c r="L24" s="327"/>
      <c r="M24" s="54"/>
      <c r="N24" s="49"/>
      <c r="O24" s="49"/>
      <c r="P24" s="49"/>
      <c r="Q24" s="48"/>
      <c r="R24" s="48"/>
      <c r="S24" s="327"/>
    </row>
    <row r="25" spans="1:26" ht="15" customHeight="1" x14ac:dyDescent="0.3">
      <c r="A25" s="26"/>
      <c r="B25" s="8"/>
      <c r="C25" s="869"/>
      <c r="D25" s="869"/>
      <c r="E25" s="327"/>
      <c r="F25" s="1073"/>
      <c r="G25" s="1074"/>
      <c r="H25" s="869"/>
      <c r="I25" s="19"/>
      <c r="J25" s="19"/>
      <c r="K25" s="45"/>
      <c r="L25" s="327"/>
      <c r="M25" s="904" t="e">
        <f>IF(H17="","","Maintenance should be informed")</f>
        <v>#N/A</v>
      </c>
      <c r="N25" s="904"/>
      <c r="O25" s="904"/>
      <c r="P25" s="904"/>
      <c r="Q25" s="48"/>
      <c r="R25" s="48"/>
      <c r="S25" s="327"/>
    </row>
    <row r="26" spans="1:26" ht="15" customHeight="1" x14ac:dyDescent="0.3">
      <c r="A26" s="327"/>
      <c r="B26" s="8"/>
      <c r="C26" s="869"/>
      <c r="D26" s="869"/>
      <c r="E26" s="19"/>
      <c r="F26" s="1074"/>
      <c r="G26" s="1074"/>
      <c r="H26" s="869"/>
      <c r="I26" s="19"/>
      <c r="J26" s="19"/>
      <c r="K26" s="45"/>
      <c r="L26" s="327"/>
      <c r="M26" s="904"/>
      <c r="N26" s="904"/>
      <c r="O26" s="904"/>
      <c r="P26" s="904"/>
      <c r="Q26" s="48"/>
      <c r="R26" s="327"/>
      <c r="S26" s="327"/>
    </row>
    <row r="27" spans="1:26" ht="15" customHeight="1" thickBot="1" x14ac:dyDescent="0.35">
      <c r="A27" s="327"/>
      <c r="B27" s="10"/>
      <c r="C27" s="1066"/>
      <c r="D27" s="1066"/>
      <c r="E27" s="11"/>
      <c r="F27" s="1075"/>
      <c r="G27" s="1075"/>
      <c r="H27" s="11"/>
      <c r="I27" s="11"/>
      <c r="J27" s="11"/>
      <c r="K27" s="12"/>
      <c r="L27" s="327"/>
      <c r="M27" s="904"/>
      <c r="N27" s="904"/>
      <c r="O27" s="904"/>
      <c r="P27" s="904"/>
      <c r="Q27" s="48"/>
      <c r="R27" s="327"/>
      <c r="S27" s="327"/>
    </row>
    <row r="28" spans="1:26" ht="15" customHeight="1" thickTop="1" thickBot="1" x14ac:dyDescent="0.35">
      <c r="A28" s="327"/>
      <c r="B28" s="327"/>
      <c r="C28" s="327"/>
      <c r="D28" s="327"/>
      <c r="E28" s="327"/>
      <c r="F28" s="327"/>
      <c r="G28" s="327"/>
      <c r="H28" s="327"/>
      <c r="I28" s="327"/>
      <c r="J28" s="327"/>
      <c r="K28" s="327"/>
      <c r="L28" s="327"/>
      <c r="M28" s="327"/>
      <c r="N28" s="327"/>
      <c r="O28" s="327"/>
      <c r="P28" s="327"/>
      <c r="Q28" s="327"/>
      <c r="R28" s="327"/>
      <c r="S28" s="327"/>
    </row>
    <row r="29" spans="1:26" ht="15" customHeight="1" thickTop="1" x14ac:dyDescent="0.3">
      <c r="A29" s="32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7"/>
    </row>
    <row r="30" spans="1:26" x14ac:dyDescent="0.3">
      <c r="A30" s="32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32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32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3">
      <c r="A33" s="327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3">
      <c r="A35" s="16"/>
      <c r="B35" s="16"/>
      <c r="C35" s="16" t="s">
        <v>206</v>
      </c>
      <c r="D35" s="16"/>
      <c r="E35" s="16" t="s">
        <v>230</v>
      </c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19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19" x14ac:dyDescent="0.3">
      <c r="A37" s="16"/>
      <c r="B37" s="16"/>
      <c r="C37" s="16" t="s">
        <v>229</v>
      </c>
      <c r="D37" s="16"/>
      <c r="E37" s="16" t="s">
        <v>232</v>
      </c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19" x14ac:dyDescent="0.3">
      <c r="A38" s="16"/>
      <c r="B38" s="16"/>
      <c r="C38" s="16" t="s">
        <v>231</v>
      </c>
      <c r="D38" s="16"/>
      <c r="E38" s="16" t="s">
        <v>233</v>
      </c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19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19" x14ac:dyDescent="0.3">
      <c r="A40" s="1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19" x14ac:dyDescent="0.3">
      <c r="A41" s="1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19" x14ac:dyDescent="0.3">
      <c r="A42" s="16"/>
    </row>
    <row r="43" spans="1:19" x14ac:dyDescent="0.3">
      <c r="A43" s="16"/>
      <c r="C43" s="351" t="s">
        <v>214</v>
      </c>
    </row>
    <row r="44" spans="1:19" x14ac:dyDescent="0.3">
      <c r="A44" s="16"/>
    </row>
    <row r="45" spans="1:19" x14ac:dyDescent="0.3">
      <c r="A45" s="16"/>
    </row>
  </sheetData>
  <mergeCells count="31">
    <mergeCell ref="P8:P9"/>
    <mergeCell ref="M16:R18"/>
    <mergeCell ref="C5:E6"/>
    <mergeCell ref="K5:M6"/>
    <mergeCell ref="N5:O6"/>
    <mergeCell ref="K8:M9"/>
    <mergeCell ref="N8:O9"/>
    <mergeCell ref="K13:K14"/>
    <mergeCell ref="M13:R15"/>
    <mergeCell ref="C17:E18"/>
    <mergeCell ref="F17:G18"/>
    <mergeCell ref="C13:E14"/>
    <mergeCell ref="F13:F14"/>
    <mergeCell ref="G13:G14"/>
    <mergeCell ref="H13:H14"/>
    <mergeCell ref="I13:I14"/>
    <mergeCell ref="J13:J14"/>
    <mergeCell ref="C20:D21"/>
    <mergeCell ref="F20:F21"/>
    <mergeCell ref="G20:G21"/>
    <mergeCell ref="H21:H22"/>
    <mergeCell ref="C22:D23"/>
    <mergeCell ref="F22:F23"/>
    <mergeCell ref="G22:G23"/>
    <mergeCell ref="C24:D25"/>
    <mergeCell ref="F24:F25"/>
    <mergeCell ref="G24:G25"/>
    <mergeCell ref="H25:H26"/>
    <mergeCell ref="M25:P27"/>
    <mergeCell ref="C26:D27"/>
    <mergeCell ref="F26:G27"/>
  </mergeCells>
  <conditionalFormatting sqref="F26">
    <cfRule type="cellIs" dxfId="1" priority="1" operator="greaterThan">
      <formula>55</formula>
    </cfRule>
  </conditionalFormatting>
  <dataValidations count="1">
    <dataValidation type="list" allowBlank="1" showInputMessage="1" showErrorMessage="1" promptTitle="Select a value " sqref="F17" xr:uid="{D5D57A95-AD94-405F-BEBC-9E4238CAB1BD}">
      <formula1>emissivity</formula1>
    </dataValidation>
  </dataValidations>
  <hyperlinks>
    <hyperlink ref="C43" r:id="rId1" xr:uid="{3BC39CBA-CE58-461D-9A36-A23AFE93E415}"/>
  </hyperlinks>
  <pageMargins left="0.7" right="0.7" top="0.75" bottom="0.75" header="0.3" footer="0.3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2687C2D-7923-4B06-BA4E-B94BB279B592}">
          <x14:formula1>
            <xm:f>'Default values '!$C$2:$C$10</xm:f>
          </x14:formula1>
          <xm:sqref>N5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A0013-75F3-48AD-8A3A-FEAD88C94F5F}">
  <dimension ref="A1:AA41"/>
  <sheetViews>
    <sheetView workbookViewId="0"/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382"/>
      <c r="B2" s="822"/>
      <c r="C2" s="822"/>
      <c r="D2" s="823"/>
      <c r="E2" s="823"/>
      <c r="F2" s="823"/>
      <c r="G2" s="823"/>
      <c r="H2" s="822"/>
      <c r="I2" s="822"/>
      <c r="J2" s="822"/>
      <c r="K2" s="824"/>
      <c r="L2" s="824"/>
      <c r="M2" s="824"/>
      <c r="N2" s="382"/>
      <c r="O2" s="822"/>
      <c r="P2" s="822"/>
      <c r="Q2" s="817"/>
      <c r="R2" s="817"/>
      <c r="S2" s="109"/>
      <c r="T2" s="109"/>
    </row>
    <row r="3" spans="1:26" ht="6" customHeight="1" x14ac:dyDescent="0.3">
      <c r="A3" s="382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82"/>
    </row>
    <row r="4" spans="1:26" ht="16.8" customHeight="1" x14ac:dyDescent="0.3">
      <c r="A4" s="382"/>
      <c r="B4" s="15"/>
      <c r="C4" s="864" t="s">
        <v>16</v>
      </c>
      <c r="D4" s="864"/>
      <c r="E4" s="864"/>
      <c r="F4" s="864"/>
      <c r="G4" s="32"/>
      <c r="H4" s="865"/>
      <c r="I4" s="865"/>
      <c r="J4" s="865"/>
      <c r="K4" s="865"/>
      <c r="L4" s="866" t="s">
        <v>15</v>
      </c>
      <c r="M4" s="866"/>
      <c r="N4" s="866"/>
      <c r="O4" s="908" t="s">
        <v>21</v>
      </c>
      <c r="P4" s="908"/>
      <c r="Q4" s="32" t="e">
        <f>VLOOKUP(O4,'Default values '!D1:E9,2,TRUE)</f>
        <v>#N/A</v>
      </c>
      <c r="R4" s="15"/>
      <c r="S4" s="15"/>
      <c r="T4" s="109"/>
    </row>
    <row r="5" spans="1:26" ht="13.8" customHeight="1" x14ac:dyDescent="0.35">
      <c r="A5" s="382"/>
      <c r="B5" s="15"/>
      <c r="C5" s="864"/>
      <c r="D5" s="864"/>
      <c r="E5" s="864"/>
      <c r="F5" s="864"/>
      <c r="G5" s="32"/>
      <c r="H5" s="865"/>
      <c r="I5" s="865"/>
      <c r="J5" s="865"/>
      <c r="K5" s="865"/>
      <c r="L5" s="866"/>
      <c r="M5" s="866"/>
      <c r="N5" s="866"/>
      <c r="O5" s="908"/>
      <c r="P5" s="908"/>
      <c r="Q5" s="14"/>
      <c r="R5" s="15"/>
      <c r="S5" s="15"/>
      <c r="T5" s="382"/>
      <c r="W5" s="116"/>
      <c r="X5" s="116"/>
      <c r="Y5" s="116"/>
      <c r="Z5" s="116"/>
    </row>
    <row r="6" spans="1:26" ht="13.8" customHeight="1" x14ac:dyDescent="0.35">
      <c r="A6" s="382"/>
      <c r="B6" s="15"/>
      <c r="C6" s="14"/>
      <c r="D6" s="384"/>
      <c r="E6" s="384"/>
      <c r="F6" s="384"/>
      <c r="G6" s="47"/>
      <c r="H6" s="285"/>
      <c r="I6" s="285"/>
      <c r="J6" s="285"/>
      <c r="K6" s="285"/>
      <c r="L6" s="14"/>
      <c r="M6" s="14"/>
      <c r="N6" s="14"/>
      <c r="O6" s="14"/>
      <c r="P6" s="14"/>
      <c r="Q6" s="14"/>
      <c r="R6" s="15"/>
      <c r="S6" s="15"/>
      <c r="T6" s="382"/>
      <c r="W6" s="116"/>
      <c r="X6" s="116"/>
      <c r="Y6" s="116"/>
      <c r="Z6" s="116"/>
    </row>
    <row r="7" spans="1:26" ht="13.8" customHeight="1" x14ac:dyDescent="0.35">
      <c r="A7" s="382"/>
      <c r="B7" s="15"/>
      <c r="C7" s="14"/>
      <c r="D7" s="384"/>
      <c r="E7" s="384"/>
      <c r="F7" s="384"/>
      <c r="G7" s="47"/>
      <c r="H7" s="285"/>
      <c r="I7" s="285"/>
      <c r="J7" s="285"/>
      <c r="K7" s="285"/>
      <c r="L7" s="866" t="s">
        <v>289</v>
      </c>
      <c r="M7" s="866"/>
      <c r="N7" s="866"/>
      <c r="O7" s="898"/>
      <c r="P7" s="898"/>
      <c r="Q7" s="869"/>
      <c r="R7" s="15"/>
      <c r="S7" s="15"/>
      <c r="T7" s="382"/>
      <c r="W7" s="390"/>
      <c r="X7" s="390"/>
      <c r="Y7" s="390"/>
      <c r="Z7" s="116"/>
    </row>
    <row r="8" spans="1:26" ht="13.8" customHeight="1" x14ac:dyDescent="0.35">
      <c r="A8" s="382"/>
      <c r="B8" s="15"/>
      <c r="C8" s="14"/>
      <c r="D8" s="384"/>
      <c r="E8" s="384"/>
      <c r="F8" s="384"/>
      <c r="G8" s="47"/>
      <c r="H8" s="285"/>
      <c r="I8" s="285"/>
      <c r="J8" s="285"/>
      <c r="K8" s="285"/>
      <c r="L8" s="866"/>
      <c r="M8" s="866"/>
      <c r="N8" s="866"/>
      <c r="O8" s="898"/>
      <c r="P8" s="898"/>
      <c r="Q8" s="869"/>
      <c r="R8" s="15"/>
      <c r="S8" s="15"/>
      <c r="T8" s="382"/>
      <c r="W8" s="390"/>
      <c r="X8" s="390"/>
      <c r="Y8" s="390"/>
      <c r="Z8" s="116"/>
    </row>
    <row r="9" spans="1:26" ht="13.8" customHeight="1" x14ac:dyDescent="0.3">
      <c r="A9" s="382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82"/>
      <c r="W9" s="390"/>
      <c r="X9" s="390"/>
      <c r="Y9" s="390"/>
      <c r="Z9" s="116"/>
    </row>
    <row r="10" spans="1:26" ht="13.8" customHeight="1" x14ac:dyDescent="0.3">
      <c r="A10" s="382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866" t="s">
        <v>42</v>
      </c>
      <c r="M10" s="866"/>
      <c r="N10" s="866"/>
      <c r="O10" s="898">
        <v>0</v>
      </c>
      <c r="P10" s="898"/>
      <c r="Q10" s="869" t="s">
        <v>23</v>
      </c>
      <c r="R10" s="15"/>
      <c r="S10" s="15"/>
      <c r="T10" s="382"/>
      <c r="W10" s="390"/>
      <c r="X10" s="390"/>
      <c r="Y10" s="390"/>
      <c r="Z10" s="116"/>
    </row>
    <row r="11" spans="1:26" ht="13.8" customHeight="1" x14ac:dyDescent="0.3">
      <c r="A11" s="382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866"/>
      <c r="M11" s="866"/>
      <c r="N11" s="866"/>
      <c r="O11" s="898"/>
      <c r="P11" s="898"/>
      <c r="Q11" s="869"/>
      <c r="R11" s="15"/>
      <c r="S11" s="15"/>
      <c r="T11" s="382"/>
      <c r="W11" s="116"/>
      <c r="X11" s="116"/>
      <c r="Y11" s="116"/>
      <c r="Z11" s="116"/>
    </row>
    <row r="12" spans="1:26" ht="13.8" customHeight="1" x14ac:dyDescent="0.3">
      <c r="A12" s="382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82"/>
    </row>
    <row r="13" spans="1:26" ht="13.8" customHeight="1" x14ac:dyDescent="0.3">
      <c r="A13" s="382"/>
      <c r="B13" s="15"/>
      <c r="C13" s="373"/>
      <c r="D13" s="373"/>
      <c r="E13" s="373"/>
      <c r="F13" s="373"/>
      <c r="G13" s="373"/>
      <c r="H13" s="373"/>
      <c r="I13" s="373"/>
      <c r="J13" s="373"/>
      <c r="K13" s="373"/>
      <c r="L13" s="373"/>
      <c r="M13" s="373"/>
      <c r="N13" s="373"/>
      <c r="O13" s="373"/>
      <c r="P13" s="373"/>
      <c r="Q13" s="373"/>
      <c r="R13" s="373"/>
      <c r="S13" s="15"/>
      <c r="T13" s="382"/>
    </row>
    <row r="14" spans="1:26" ht="13.8" customHeight="1" x14ac:dyDescent="0.3">
      <c r="A14" s="382"/>
      <c r="B14" s="15"/>
      <c r="C14" s="372"/>
      <c r="D14" s="870" t="s">
        <v>246</v>
      </c>
      <c r="E14" s="870"/>
      <c r="F14" s="870"/>
      <c r="G14" s="870"/>
      <c r="H14" s="870"/>
      <c r="I14" s="870"/>
      <c r="J14" s="870"/>
      <c r="K14" s="870"/>
      <c r="L14" s="870"/>
      <c r="M14" s="372"/>
      <c r="N14" s="372"/>
      <c r="O14" s="372"/>
      <c r="P14" s="372"/>
      <c r="Q14" s="372"/>
      <c r="R14" s="372"/>
      <c r="S14" s="356"/>
      <c r="T14" s="382"/>
    </row>
    <row r="15" spans="1:26" ht="13.8" customHeight="1" x14ac:dyDescent="0.3">
      <c r="A15" s="382"/>
      <c r="B15" s="15"/>
      <c r="C15" s="372"/>
      <c r="D15" s="870"/>
      <c r="E15" s="870"/>
      <c r="F15" s="870"/>
      <c r="G15" s="870"/>
      <c r="H15" s="870"/>
      <c r="I15" s="870"/>
      <c r="J15" s="870"/>
      <c r="K15" s="870"/>
      <c r="L15" s="870"/>
      <c r="M15" s="372"/>
      <c r="N15" s="372"/>
      <c r="O15" s="372"/>
      <c r="P15" s="372"/>
      <c r="Q15" s="372"/>
      <c r="R15" s="372"/>
      <c r="S15" s="356"/>
      <c r="T15" s="382"/>
    </row>
    <row r="16" spans="1:26" ht="13.8" customHeight="1" x14ac:dyDescent="0.3">
      <c r="A16" s="382"/>
      <c r="B16" s="15"/>
      <c r="C16" s="372"/>
      <c r="D16" s="372"/>
      <c r="E16" s="372"/>
      <c r="F16" s="372"/>
      <c r="G16" s="372"/>
      <c r="H16" s="372"/>
      <c r="I16" s="372"/>
      <c r="J16" s="372"/>
      <c r="K16" s="372"/>
      <c r="L16" s="372"/>
      <c r="M16" s="372"/>
      <c r="N16" s="372"/>
      <c r="O16" s="372"/>
      <c r="P16" s="372"/>
      <c r="Q16" s="372"/>
      <c r="R16" s="372"/>
      <c r="S16" s="356"/>
      <c r="T16" s="382"/>
    </row>
    <row r="17" spans="1:20" ht="13.8" customHeight="1" x14ac:dyDescent="0.3">
      <c r="A17" s="382"/>
      <c r="B17" s="15"/>
      <c r="C17" s="372"/>
      <c r="D17" s="372"/>
      <c r="E17" s="372"/>
      <c r="F17" s="372"/>
      <c r="G17" s="372"/>
      <c r="H17" s="372"/>
      <c r="I17" s="372"/>
      <c r="J17" s="372"/>
      <c r="K17" s="372"/>
      <c r="L17" s="372"/>
      <c r="M17" s="372"/>
      <c r="N17" s="372"/>
      <c r="O17" s="372"/>
      <c r="P17" s="372"/>
      <c r="Q17" s="372"/>
      <c r="R17" s="372"/>
      <c r="S17" s="356"/>
      <c r="T17" s="382"/>
    </row>
    <row r="18" spans="1:20" ht="13.8" customHeight="1" x14ac:dyDescent="0.3">
      <c r="A18" s="382"/>
      <c r="B18" s="15"/>
      <c r="C18" s="372"/>
      <c r="D18" s="372"/>
      <c r="E18" s="372"/>
      <c r="F18" s="372"/>
      <c r="G18" s="372"/>
      <c r="H18" s="372"/>
      <c r="I18" s="372"/>
      <c r="J18" s="372"/>
      <c r="K18" s="372"/>
      <c r="L18" s="372"/>
      <c r="M18" s="372"/>
      <c r="N18" s="372"/>
      <c r="O18" s="372"/>
      <c r="P18" s="372"/>
      <c r="Q18" s="372"/>
      <c r="R18" s="372"/>
      <c r="S18" s="356"/>
      <c r="T18" s="382"/>
    </row>
    <row r="19" spans="1:20" ht="13.8" customHeight="1" x14ac:dyDescent="0.3">
      <c r="A19" s="382"/>
      <c r="B19" s="15"/>
      <c r="C19" s="372"/>
      <c r="D19" s="372"/>
      <c r="E19" s="372"/>
      <c r="F19" s="372"/>
      <c r="G19" s="372"/>
      <c r="H19" s="372"/>
      <c r="I19" s="372"/>
      <c r="J19" s="372"/>
      <c r="K19" s="372"/>
      <c r="L19" s="372"/>
      <c r="M19" s="372"/>
      <c r="N19" s="372"/>
      <c r="O19" s="372"/>
      <c r="P19" s="372"/>
      <c r="Q19" s="372"/>
      <c r="R19" s="372"/>
      <c r="S19" s="356"/>
      <c r="T19" s="382"/>
    </row>
    <row r="20" spans="1:20" ht="13.8" customHeight="1" x14ac:dyDescent="0.3">
      <c r="A20" s="382"/>
      <c r="B20" s="15"/>
      <c r="C20" s="373"/>
      <c r="D20" s="373"/>
      <c r="E20" s="373"/>
      <c r="F20" s="373"/>
      <c r="G20" s="373"/>
      <c r="H20" s="373"/>
      <c r="I20" s="373"/>
      <c r="J20" s="373"/>
      <c r="K20" s="373"/>
      <c r="L20" s="373"/>
      <c r="M20" s="373"/>
      <c r="N20" s="373"/>
      <c r="O20" s="373"/>
      <c r="P20" s="373"/>
      <c r="Q20" s="373"/>
      <c r="R20" s="373"/>
      <c r="S20" s="15"/>
      <c r="T20" s="382"/>
    </row>
    <row r="21" spans="1:20" ht="14.4" customHeight="1" x14ac:dyDescent="0.3">
      <c r="A21" s="382"/>
      <c r="B21" s="15"/>
      <c r="C21" s="373"/>
      <c r="D21" s="373"/>
      <c r="E21" s="373"/>
      <c r="F21" s="373"/>
      <c r="G21" s="373"/>
      <c r="H21" s="373"/>
      <c r="I21" s="373"/>
      <c r="J21" s="373"/>
      <c r="K21" s="373"/>
      <c r="L21" s="373"/>
      <c r="M21" s="373"/>
      <c r="N21" s="373"/>
      <c r="O21" s="373"/>
      <c r="P21" s="373"/>
      <c r="Q21" s="373"/>
      <c r="R21" s="373"/>
      <c r="S21" s="15"/>
      <c r="T21" s="382"/>
    </row>
    <row r="22" spans="1:20" ht="14.4" customHeight="1" x14ac:dyDescent="0.3">
      <c r="A22" s="1"/>
      <c r="B22" s="15"/>
      <c r="C22" s="373"/>
      <c r="D22" s="373"/>
      <c r="E22" s="373"/>
      <c r="F22" s="373"/>
      <c r="G22" s="373"/>
      <c r="H22" s="373"/>
      <c r="I22" s="373"/>
      <c r="J22" s="373"/>
      <c r="K22" s="373"/>
      <c r="L22" s="373"/>
      <c r="M22" s="373"/>
      <c r="N22" s="373"/>
      <c r="O22" s="373"/>
      <c r="P22" s="373"/>
      <c r="Q22" s="373"/>
      <c r="R22" s="373"/>
      <c r="S22" s="15"/>
      <c r="T22" s="1"/>
    </row>
    <row r="23" spans="1:20" ht="14.4" customHeight="1" x14ac:dyDescent="0.3">
      <c r="A23" s="1"/>
      <c r="B23" s="382"/>
      <c r="C23" s="373"/>
      <c r="D23" s="373"/>
      <c r="E23" s="373"/>
      <c r="F23" s="373"/>
      <c r="G23" s="373"/>
      <c r="H23" s="373"/>
      <c r="I23" s="373"/>
      <c r="J23" s="373"/>
      <c r="K23" s="373"/>
      <c r="L23" s="373"/>
      <c r="M23" s="373"/>
      <c r="N23" s="373"/>
      <c r="O23" s="373"/>
      <c r="P23" s="373"/>
      <c r="Q23" s="373"/>
      <c r="R23" s="373"/>
      <c r="S23" s="1"/>
      <c r="T23" s="1"/>
    </row>
    <row r="24" spans="1:20" ht="14.4" customHeight="1" x14ac:dyDescent="0.3">
      <c r="A24" s="1"/>
      <c r="B24" s="382"/>
      <c r="C24" s="373"/>
      <c r="D24" s="373"/>
      <c r="E24" s="373"/>
      <c r="F24" s="373"/>
      <c r="G24" s="373"/>
      <c r="H24" s="373"/>
      <c r="I24" s="373"/>
      <c r="J24" s="373"/>
      <c r="K24" s="373"/>
      <c r="L24" s="373"/>
      <c r="M24" s="373"/>
      <c r="N24" s="373"/>
      <c r="O24" s="373"/>
      <c r="P24" s="373"/>
      <c r="Q24" s="373"/>
      <c r="R24" s="373"/>
      <c r="S24" s="1"/>
      <c r="T24" s="1"/>
    </row>
    <row r="25" spans="1:20" ht="18" customHeight="1" x14ac:dyDescent="0.35">
      <c r="A25" s="1"/>
      <c r="B25" s="115"/>
      <c r="C25" s="373"/>
      <c r="D25" s="373"/>
      <c r="E25" s="373"/>
      <c r="F25" s="373"/>
      <c r="G25" s="373"/>
      <c r="H25" s="373"/>
      <c r="I25" s="373"/>
      <c r="J25" s="373"/>
      <c r="K25" s="373"/>
      <c r="L25" s="373"/>
      <c r="M25" s="373"/>
      <c r="N25" s="373"/>
      <c r="O25" s="373"/>
      <c r="P25" s="373"/>
      <c r="Q25" s="373"/>
      <c r="R25" s="373"/>
      <c r="S25" s="3"/>
      <c r="T25" s="1"/>
    </row>
    <row r="26" spans="1:20" x14ac:dyDescent="0.3">
      <c r="A26" s="1"/>
      <c r="B26" s="1"/>
      <c r="C26" s="382"/>
      <c r="D26" s="382"/>
      <c r="E26" s="382"/>
      <c r="F26" s="382"/>
      <c r="G26" s="382"/>
      <c r="H26" s="382"/>
      <c r="I26" s="382"/>
      <c r="J26" s="15"/>
      <c r="K26" s="382"/>
      <c r="L26" s="1"/>
      <c r="M26" s="1"/>
      <c r="N26" s="1"/>
      <c r="O26" s="1"/>
      <c r="P26" s="1"/>
      <c r="Q26" s="1"/>
      <c r="R26" s="1"/>
      <c r="S26" s="1"/>
      <c r="T26" s="1"/>
    </row>
    <row r="27" spans="1:20" ht="18" x14ac:dyDescent="0.35">
      <c r="A27" s="1"/>
      <c r="B27" s="818"/>
      <c r="C27" s="818"/>
      <c r="D27" s="871"/>
      <c r="E27" s="871"/>
      <c r="F27" s="871"/>
      <c r="G27" s="871"/>
      <c r="H27" s="1"/>
      <c r="I27" s="1"/>
      <c r="J27" s="818"/>
      <c r="K27" s="818"/>
      <c r="L27" s="872"/>
      <c r="M27" s="872"/>
      <c r="N27" s="3"/>
      <c r="O27" s="1"/>
      <c r="P27" s="1"/>
      <c r="Q27" s="1"/>
      <c r="R27" s="1"/>
      <c r="S27" s="1"/>
      <c r="T27" s="1"/>
    </row>
    <row r="28" spans="1:20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7:Q8"/>
    <mergeCell ref="D14:L15"/>
    <mergeCell ref="B27:C27"/>
    <mergeCell ref="D27:G27"/>
    <mergeCell ref="J27:K27"/>
    <mergeCell ref="L27:M27"/>
    <mergeCell ref="L10:N11"/>
    <mergeCell ref="O10:P11"/>
    <mergeCell ref="Q10:Q11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FEA03F8-0C2A-497B-9EB8-B1550C63FE2C}">
          <x14:formula1>
            <xm:f>'Default values '!$C$2:$C$10</xm:f>
          </x14:formula1>
          <xm:sqref>O4</xm:sqref>
        </x14:dataValidation>
      </x14:dataValidations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55534-10C5-47C5-B0AB-48B00BB15395}">
  <dimension ref="A1:L42"/>
  <sheetViews>
    <sheetView tabSelected="1" workbookViewId="0">
      <selection activeCell="E39" sqref="E39"/>
    </sheetView>
  </sheetViews>
  <sheetFormatPr defaultRowHeight="14.4" x14ac:dyDescent="0.3"/>
  <cols>
    <col min="1" max="1" width="33.88671875" customWidth="1"/>
    <col min="4" max="4" width="19.21875" customWidth="1"/>
    <col min="5" max="5" width="11" customWidth="1"/>
    <col min="6" max="7" width="7.6640625" customWidth="1"/>
  </cols>
  <sheetData>
    <row r="1" spans="1:12" ht="15" thickBot="1" x14ac:dyDescent="0.35">
      <c r="A1" s="1084" t="s">
        <v>391</v>
      </c>
      <c r="B1" s="1085"/>
      <c r="D1" s="1077" t="s">
        <v>396</v>
      </c>
      <c r="E1" s="1078"/>
      <c r="F1" s="561"/>
      <c r="G1" s="561"/>
      <c r="K1" s="206" t="s">
        <v>169</v>
      </c>
      <c r="L1" s="206" t="s">
        <v>56</v>
      </c>
    </row>
    <row r="2" spans="1:12" ht="15" thickBot="1" x14ac:dyDescent="0.35">
      <c r="A2" s="552" t="s">
        <v>392</v>
      </c>
      <c r="B2" s="553" t="s">
        <v>393</v>
      </c>
      <c r="D2" s="67" t="s">
        <v>147</v>
      </c>
      <c r="E2" s="559">
        <v>1.6</v>
      </c>
      <c r="F2" s="560"/>
      <c r="G2" s="560"/>
      <c r="K2" s="565">
        <v>10</v>
      </c>
      <c r="L2" s="566">
        <v>1.7999999999999999E-2</v>
      </c>
    </row>
    <row r="3" spans="1:12" x14ac:dyDescent="0.3">
      <c r="A3" s="183" t="s">
        <v>375</v>
      </c>
      <c r="B3" s="255">
        <v>0.8</v>
      </c>
      <c r="D3" s="67" t="s">
        <v>148</v>
      </c>
      <c r="E3" s="559">
        <v>5</v>
      </c>
      <c r="F3" s="560"/>
      <c r="G3" s="560"/>
      <c r="K3" s="565">
        <v>15</v>
      </c>
      <c r="L3" s="566">
        <v>2.1999999999999999E-2</v>
      </c>
    </row>
    <row r="4" spans="1:12" x14ac:dyDescent="0.3">
      <c r="A4" s="102" t="s">
        <v>376</v>
      </c>
      <c r="B4" s="256">
        <v>0.3</v>
      </c>
      <c r="K4" s="565">
        <v>20</v>
      </c>
      <c r="L4" s="566">
        <v>2.7E-2</v>
      </c>
    </row>
    <row r="5" spans="1:12" ht="15" thickBot="1" x14ac:dyDescent="0.35">
      <c r="A5" s="102" t="s">
        <v>377</v>
      </c>
      <c r="B5" s="256">
        <v>0.6</v>
      </c>
      <c r="D5" s="1079" t="s">
        <v>122</v>
      </c>
      <c r="E5" s="1080"/>
      <c r="F5" s="1080"/>
      <c r="G5" s="1080"/>
      <c r="K5" s="565">
        <v>25</v>
      </c>
      <c r="L5" s="566">
        <v>3.4000000000000002E-2</v>
      </c>
    </row>
    <row r="6" spans="1:12" x14ac:dyDescent="0.3">
      <c r="A6" s="102" t="s">
        <v>378</v>
      </c>
      <c r="B6" s="256">
        <v>0.8</v>
      </c>
      <c r="D6" s="562"/>
      <c r="E6" s="563" t="s">
        <v>23</v>
      </c>
      <c r="F6" s="564" t="s">
        <v>319</v>
      </c>
      <c r="G6" s="564" t="s">
        <v>320</v>
      </c>
      <c r="K6" s="565">
        <v>32</v>
      </c>
      <c r="L6" s="566">
        <v>4.2999999999999997E-2</v>
      </c>
    </row>
    <row r="7" spans="1:12" x14ac:dyDescent="0.3">
      <c r="A7" s="102" t="s">
        <v>379</v>
      </c>
      <c r="B7" s="256">
        <v>0.9</v>
      </c>
      <c r="D7" s="527" t="s">
        <v>91</v>
      </c>
      <c r="E7" s="528">
        <v>80</v>
      </c>
      <c r="F7" s="529">
        <v>20</v>
      </c>
      <c r="G7" s="529">
        <v>100</v>
      </c>
      <c r="K7" s="565">
        <v>40</v>
      </c>
      <c r="L7" s="566">
        <v>4.9000000000000002E-2</v>
      </c>
    </row>
    <row r="8" spans="1:12" x14ac:dyDescent="0.3">
      <c r="A8" s="102" t="s">
        <v>380</v>
      </c>
      <c r="B8" s="256">
        <v>0.9</v>
      </c>
      <c r="D8" s="527" t="s">
        <v>91</v>
      </c>
      <c r="E8" s="528">
        <v>150</v>
      </c>
      <c r="F8" s="529">
        <v>30</v>
      </c>
      <c r="G8" s="529">
        <v>180</v>
      </c>
      <c r="K8" s="565">
        <v>50</v>
      </c>
      <c r="L8" s="566">
        <v>6.0999999999999999E-2</v>
      </c>
    </row>
    <row r="9" spans="1:12" ht="15" thickBot="1" x14ac:dyDescent="0.35">
      <c r="A9" s="103" t="s">
        <v>12</v>
      </c>
      <c r="B9" s="551" t="s">
        <v>390</v>
      </c>
      <c r="D9" s="527" t="s">
        <v>91</v>
      </c>
      <c r="E9" s="528">
        <v>250</v>
      </c>
      <c r="F9" s="529">
        <v>50</v>
      </c>
      <c r="G9" s="529">
        <v>250</v>
      </c>
      <c r="K9" s="565">
        <v>60</v>
      </c>
      <c r="L9" s="566">
        <v>7.1999999999999995E-2</v>
      </c>
    </row>
    <row r="10" spans="1:12" ht="15" thickBot="1" x14ac:dyDescent="0.35">
      <c r="D10" s="527" t="s">
        <v>91</v>
      </c>
      <c r="E10" s="528"/>
      <c r="F10" s="529">
        <v>80</v>
      </c>
      <c r="G10" s="529">
        <v>300</v>
      </c>
      <c r="K10" s="565">
        <v>65</v>
      </c>
      <c r="L10" s="566">
        <v>7.6999999999999999E-2</v>
      </c>
    </row>
    <row r="11" spans="1:12" ht="15" thickBot="1" x14ac:dyDescent="0.35">
      <c r="A11" s="1082" t="s">
        <v>394</v>
      </c>
      <c r="B11" s="1083"/>
      <c r="K11" s="565">
        <v>80</v>
      </c>
      <c r="L11" s="566">
        <v>8.8999999999999996E-2</v>
      </c>
    </row>
    <row r="12" spans="1:12" ht="15" thickBot="1" x14ac:dyDescent="0.35">
      <c r="A12" s="552" t="s">
        <v>392</v>
      </c>
      <c r="B12" s="553" t="s">
        <v>393</v>
      </c>
      <c r="D12" s="1079" t="s">
        <v>120</v>
      </c>
      <c r="E12" s="1081"/>
      <c r="K12" s="565">
        <v>100</v>
      </c>
      <c r="L12" s="566">
        <v>0.115</v>
      </c>
    </row>
    <row r="13" spans="1:12" ht="15" thickBot="1" x14ac:dyDescent="0.35">
      <c r="A13" s="184" t="s">
        <v>144</v>
      </c>
      <c r="B13" s="253">
        <v>1000</v>
      </c>
      <c r="D13" s="171" t="s">
        <v>63</v>
      </c>
      <c r="E13" s="306">
        <v>1.5</v>
      </c>
      <c r="K13" s="565">
        <v>125</v>
      </c>
      <c r="L13" s="566">
        <v>0.14099999999999999</v>
      </c>
    </row>
    <row r="14" spans="1:12" x14ac:dyDescent="0.3">
      <c r="A14" s="99" t="s">
        <v>19</v>
      </c>
      <c r="B14" s="254">
        <v>2000</v>
      </c>
      <c r="D14" s="172" t="s">
        <v>57</v>
      </c>
      <c r="E14" s="173">
        <f>0.0338</f>
        <v>3.3799999999999997E-2</v>
      </c>
      <c r="K14" s="565">
        <v>150</v>
      </c>
      <c r="L14" s="566">
        <v>0.16900000000000001</v>
      </c>
    </row>
    <row r="15" spans="1:12" x14ac:dyDescent="0.3">
      <c r="A15" s="99" t="s">
        <v>143</v>
      </c>
      <c r="B15" s="254">
        <v>3000</v>
      </c>
      <c r="D15" s="172" t="s">
        <v>58</v>
      </c>
      <c r="E15" s="173">
        <v>1.1730000000000001E-4</v>
      </c>
      <c r="K15" s="565">
        <v>200</v>
      </c>
      <c r="L15" s="566">
        <v>0.22</v>
      </c>
    </row>
    <row r="16" spans="1:12" x14ac:dyDescent="0.3">
      <c r="A16" s="99" t="s">
        <v>33</v>
      </c>
      <c r="B16" s="254">
        <v>4380</v>
      </c>
      <c r="D16" s="172" t="s">
        <v>59</v>
      </c>
      <c r="E16" s="173">
        <v>7.5450000000000004E-8</v>
      </c>
      <c r="K16" s="565">
        <v>250</v>
      </c>
      <c r="L16" s="566">
        <v>0.27300000000000002</v>
      </c>
    </row>
    <row r="17" spans="1:12" ht="15" thickBot="1" x14ac:dyDescent="0.35">
      <c r="A17" s="99" t="s">
        <v>21</v>
      </c>
      <c r="B17" s="254">
        <v>5000</v>
      </c>
      <c r="D17" s="174" t="s">
        <v>60</v>
      </c>
      <c r="E17" s="175">
        <v>7.109E-10</v>
      </c>
      <c r="K17" s="565">
        <v>300</v>
      </c>
      <c r="L17" s="566">
        <v>0.32400000000000001</v>
      </c>
    </row>
    <row r="18" spans="1:12" x14ac:dyDescent="0.3">
      <c r="A18" s="99" t="s">
        <v>22</v>
      </c>
      <c r="B18" s="254">
        <v>6000</v>
      </c>
      <c r="K18" s="565">
        <v>350</v>
      </c>
      <c r="L18" s="566">
        <v>0.35599999999999998</v>
      </c>
    </row>
    <row r="19" spans="1:12" x14ac:dyDescent="0.3">
      <c r="A19" s="99" t="s">
        <v>20</v>
      </c>
      <c r="B19" s="254">
        <v>7000</v>
      </c>
      <c r="K19" s="565">
        <v>400</v>
      </c>
      <c r="L19" s="566">
        <v>0.40699999999999997</v>
      </c>
    </row>
    <row r="20" spans="1:12" x14ac:dyDescent="0.3">
      <c r="A20" s="99" t="s">
        <v>34</v>
      </c>
      <c r="B20" s="254">
        <v>8760</v>
      </c>
      <c r="K20" s="565">
        <v>450</v>
      </c>
      <c r="L20" s="566">
        <v>0.45800000000000002</v>
      </c>
    </row>
    <row r="21" spans="1:12" ht="15" thickBot="1" x14ac:dyDescent="0.35">
      <c r="A21" s="100" t="s">
        <v>145</v>
      </c>
      <c r="B21" s="101"/>
      <c r="K21" s="565">
        <v>500</v>
      </c>
      <c r="L21" s="566">
        <v>0.50800000000000001</v>
      </c>
    </row>
    <row r="22" spans="1:12" x14ac:dyDescent="0.3">
      <c r="K22" s="565">
        <v>600</v>
      </c>
      <c r="L22" s="566">
        <v>0.61</v>
      </c>
    </row>
    <row r="23" spans="1:12" ht="15" thickBot="1" x14ac:dyDescent="0.35">
      <c r="K23" s="565">
        <v>700</v>
      </c>
      <c r="L23" s="566">
        <v>0.71199999999999997</v>
      </c>
    </row>
    <row r="24" spans="1:12" x14ac:dyDescent="0.3">
      <c r="A24" s="1077" t="s">
        <v>395</v>
      </c>
      <c r="B24" s="1078"/>
      <c r="K24" s="565">
        <v>800</v>
      </c>
      <c r="L24" s="566">
        <v>0.81299999999999994</v>
      </c>
    </row>
    <row r="25" spans="1:12" x14ac:dyDescent="0.3">
      <c r="A25" s="555" t="s">
        <v>174</v>
      </c>
      <c r="B25" s="556">
        <v>3.1415999999999999</v>
      </c>
      <c r="C25" s="169"/>
      <c r="D25" s="554"/>
      <c r="K25" s="565">
        <v>900</v>
      </c>
      <c r="L25" s="566">
        <v>0.91500000000000004</v>
      </c>
    </row>
    <row r="26" spans="1:12" x14ac:dyDescent="0.3">
      <c r="A26" s="557" t="s">
        <v>90</v>
      </c>
      <c r="B26" s="681">
        <v>5.6703669999999997E-8</v>
      </c>
      <c r="C26" s="169"/>
      <c r="D26" s="176"/>
      <c r="K26" s="565">
        <v>1000</v>
      </c>
      <c r="L26" s="566">
        <v>1.016</v>
      </c>
    </row>
    <row r="27" spans="1:12" x14ac:dyDescent="0.3">
      <c r="A27" s="558" t="s">
        <v>96</v>
      </c>
      <c r="B27" s="680">
        <v>55</v>
      </c>
      <c r="C27" s="374"/>
      <c r="D27" s="567"/>
      <c r="K27" s="565">
        <v>1100</v>
      </c>
      <c r="L27" s="566">
        <v>1.1200000000000001</v>
      </c>
    </row>
    <row r="28" spans="1:12" x14ac:dyDescent="0.3">
      <c r="A28" s="557" t="s">
        <v>151</v>
      </c>
      <c r="B28" s="682">
        <v>55</v>
      </c>
      <c r="C28" s="169"/>
      <c r="D28" s="568"/>
      <c r="K28" s="565">
        <v>1200</v>
      </c>
      <c r="L28" s="566">
        <v>1.22</v>
      </c>
    </row>
    <row r="29" spans="1:12" x14ac:dyDescent="0.3">
      <c r="A29" s="557" t="s">
        <v>517</v>
      </c>
      <c r="B29" s="682">
        <v>35</v>
      </c>
      <c r="C29" s="169"/>
      <c r="D29" s="568"/>
      <c r="K29" s="565">
        <v>1400</v>
      </c>
      <c r="L29" s="566">
        <v>1.42</v>
      </c>
    </row>
    <row r="30" spans="1:12" x14ac:dyDescent="0.3">
      <c r="A30" s="557" t="s">
        <v>162</v>
      </c>
      <c r="B30" s="682">
        <v>0.8</v>
      </c>
      <c r="C30" s="169"/>
      <c r="D30" s="568"/>
      <c r="K30" s="565">
        <v>1500</v>
      </c>
      <c r="L30" s="566">
        <v>1.52</v>
      </c>
    </row>
    <row r="31" spans="1:12" ht="15" thickBot="1" x14ac:dyDescent="0.35">
      <c r="A31" s="557" t="s">
        <v>333</v>
      </c>
      <c r="B31" s="682">
        <v>90</v>
      </c>
      <c r="C31" s="169"/>
      <c r="D31" s="568"/>
      <c r="K31" s="565">
        <v>1600</v>
      </c>
      <c r="L31" s="566">
        <v>1.62</v>
      </c>
    </row>
    <row r="32" spans="1:12" ht="15" thickBot="1" x14ac:dyDescent="0.35">
      <c r="A32" s="557" t="s">
        <v>518</v>
      </c>
      <c r="B32" s="556">
        <v>0.85</v>
      </c>
      <c r="C32" s="679"/>
      <c r="D32" s="569"/>
      <c r="K32" s="565">
        <v>1800</v>
      </c>
      <c r="L32" s="566">
        <v>1.82</v>
      </c>
    </row>
    <row r="33" spans="1:12" x14ac:dyDescent="0.3">
      <c r="A33" s="558" t="s">
        <v>461</v>
      </c>
      <c r="B33" s="680">
        <v>0</v>
      </c>
      <c r="K33" s="565">
        <v>2000</v>
      </c>
      <c r="L33" s="566">
        <v>2.02</v>
      </c>
    </row>
    <row r="34" spans="1:12" x14ac:dyDescent="0.3">
      <c r="K34" s="565">
        <v>2000</v>
      </c>
      <c r="L34" s="566">
        <v>2.02</v>
      </c>
    </row>
    <row r="35" spans="1:12" x14ac:dyDescent="0.3">
      <c r="K35" s="565">
        <v>2200</v>
      </c>
      <c r="L35" s="566">
        <v>2.2200000000000002</v>
      </c>
    </row>
    <row r="36" spans="1:12" x14ac:dyDescent="0.3">
      <c r="K36" s="565">
        <v>2400</v>
      </c>
      <c r="L36" s="566">
        <v>2.42</v>
      </c>
    </row>
    <row r="37" spans="1:12" x14ac:dyDescent="0.3">
      <c r="K37" s="565">
        <v>2600</v>
      </c>
      <c r="L37" s="566">
        <v>2.62</v>
      </c>
    </row>
    <row r="38" spans="1:12" x14ac:dyDescent="0.3">
      <c r="K38" s="565">
        <v>2800</v>
      </c>
      <c r="L38" s="566">
        <v>2.82</v>
      </c>
    </row>
    <row r="39" spans="1:12" x14ac:dyDescent="0.3">
      <c r="K39" s="565">
        <v>3000</v>
      </c>
      <c r="L39" s="566">
        <v>3.02</v>
      </c>
    </row>
    <row r="40" spans="1:12" x14ac:dyDescent="0.3">
      <c r="K40" s="565">
        <v>3200</v>
      </c>
      <c r="L40" s="566">
        <v>3.22</v>
      </c>
    </row>
    <row r="41" spans="1:12" x14ac:dyDescent="0.3">
      <c r="K41" s="565">
        <v>3400</v>
      </c>
      <c r="L41" s="566">
        <v>3.42</v>
      </c>
    </row>
    <row r="42" spans="1:12" x14ac:dyDescent="0.3">
      <c r="K42" s="16"/>
      <c r="L42" s="16"/>
    </row>
  </sheetData>
  <mergeCells count="6">
    <mergeCell ref="A24:B24"/>
    <mergeCell ref="D5:G5"/>
    <mergeCell ref="D12:E12"/>
    <mergeCell ref="A11:B11"/>
    <mergeCell ref="A1:B1"/>
    <mergeCell ref="D1:E1"/>
  </mergeCells>
  <pageMargins left="0.7" right="0.7" top="0.75" bottom="0.75" header="0.3" footer="0.3"/>
  <pageSetup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B9EBF-CCD5-4993-837E-830F0A1E4C4E}">
  <sheetPr codeName="Sheet5"/>
  <dimension ref="A1:F17"/>
  <sheetViews>
    <sheetView workbookViewId="0">
      <selection activeCell="C1" sqref="C1:D10"/>
    </sheetView>
  </sheetViews>
  <sheetFormatPr defaultRowHeight="14.4" x14ac:dyDescent="0.3"/>
  <cols>
    <col min="1" max="1" width="29.21875" customWidth="1"/>
    <col min="2" max="2" width="9.44140625" customWidth="1"/>
    <col min="3" max="3" width="22.33203125" customWidth="1"/>
    <col min="6" max="6" width="21.88671875" customWidth="1"/>
  </cols>
  <sheetData>
    <row r="1" spans="1:6" ht="15" thickBot="1" x14ac:dyDescent="0.35">
      <c r="A1" s="1086" t="s">
        <v>17</v>
      </c>
      <c r="B1" s="1087"/>
      <c r="C1" s="1086" t="s">
        <v>18</v>
      </c>
      <c r="D1" s="1087"/>
      <c r="F1" t="s">
        <v>336</v>
      </c>
    </row>
    <row r="2" spans="1:6" x14ac:dyDescent="0.3">
      <c r="A2" s="183" t="s">
        <v>375</v>
      </c>
      <c r="B2" s="255">
        <v>0.8</v>
      </c>
      <c r="C2" s="184" t="s">
        <v>144</v>
      </c>
      <c r="D2" s="253">
        <v>1000</v>
      </c>
      <c r="F2" t="s">
        <v>337</v>
      </c>
    </row>
    <row r="3" spans="1:6" x14ac:dyDescent="0.3">
      <c r="A3" s="102" t="s">
        <v>376</v>
      </c>
      <c r="B3" s="256">
        <v>0.3</v>
      </c>
      <c r="C3" s="99" t="s">
        <v>19</v>
      </c>
      <c r="D3" s="254">
        <v>2000</v>
      </c>
      <c r="F3" t="s">
        <v>338</v>
      </c>
    </row>
    <row r="4" spans="1:6" x14ac:dyDescent="0.3">
      <c r="A4" s="102" t="s">
        <v>377</v>
      </c>
      <c r="B4" s="256">
        <v>0.6</v>
      </c>
      <c r="C4" s="99" t="s">
        <v>143</v>
      </c>
      <c r="D4" s="254">
        <v>3000</v>
      </c>
      <c r="F4" t="s">
        <v>339</v>
      </c>
    </row>
    <row r="5" spans="1:6" x14ac:dyDescent="0.3">
      <c r="A5" s="102" t="s">
        <v>378</v>
      </c>
      <c r="B5" s="256">
        <v>0.8</v>
      </c>
      <c r="C5" s="99" t="s">
        <v>33</v>
      </c>
      <c r="D5" s="254">
        <v>4380</v>
      </c>
      <c r="F5" t="s">
        <v>340</v>
      </c>
    </row>
    <row r="6" spans="1:6" x14ac:dyDescent="0.3">
      <c r="A6" s="102" t="s">
        <v>379</v>
      </c>
      <c r="B6" s="256">
        <v>0.9</v>
      </c>
      <c r="C6" s="99" t="s">
        <v>21</v>
      </c>
      <c r="D6" s="254">
        <v>5000</v>
      </c>
      <c r="F6" t="s">
        <v>341</v>
      </c>
    </row>
    <row r="7" spans="1:6" x14ac:dyDescent="0.3">
      <c r="A7" s="102" t="s">
        <v>380</v>
      </c>
      <c r="B7" s="256">
        <v>0.9</v>
      </c>
      <c r="C7" s="99" t="s">
        <v>22</v>
      </c>
      <c r="D7" s="254">
        <v>6000</v>
      </c>
    </row>
    <row r="8" spans="1:6" ht="15" thickBot="1" x14ac:dyDescent="0.35">
      <c r="A8" s="103" t="s">
        <v>12</v>
      </c>
      <c r="B8" s="257"/>
      <c r="C8" s="99" t="s">
        <v>20</v>
      </c>
      <c r="D8" s="254">
        <v>7000</v>
      </c>
    </row>
    <row r="9" spans="1:6" x14ac:dyDescent="0.3">
      <c r="C9" s="99" t="s">
        <v>34</v>
      </c>
      <c r="D9" s="254">
        <v>8760</v>
      </c>
    </row>
    <row r="10" spans="1:6" ht="15" thickBot="1" x14ac:dyDescent="0.35">
      <c r="C10" s="100" t="s">
        <v>145</v>
      </c>
      <c r="D10" s="101"/>
    </row>
    <row r="11" spans="1:6" x14ac:dyDescent="0.3">
      <c r="A11" s="183" t="s">
        <v>146</v>
      </c>
    </row>
    <row r="12" spans="1:6" x14ac:dyDescent="0.3">
      <c r="A12" s="102" t="s">
        <v>13</v>
      </c>
    </row>
    <row r="13" spans="1:6" x14ac:dyDescent="0.3">
      <c r="A13" s="102" t="s">
        <v>9</v>
      </c>
    </row>
    <row r="14" spans="1:6" x14ac:dyDescent="0.3">
      <c r="A14" s="102" t="s">
        <v>10</v>
      </c>
    </row>
    <row r="15" spans="1:6" x14ac:dyDescent="0.3">
      <c r="A15" s="102" t="s">
        <v>374</v>
      </c>
    </row>
    <row r="16" spans="1:6" x14ac:dyDescent="0.3">
      <c r="A16" s="102" t="s">
        <v>25</v>
      </c>
    </row>
    <row r="17" spans="1:1" ht="15" thickBot="1" x14ac:dyDescent="0.35">
      <c r="A17" s="103" t="s">
        <v>12</v>
      </c>
    </row>
  </sheetData>
  <mergeCells count="2">
    <mergeCell ref="A1:B1"/>
    <mergeCell ref="C1:D1"/>
  </mergeCell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52F7A-F291-48D1-A525-1D0B2D407012}">
  <dimension ref="A1:M23"/>
  <sheetViews>
    <sheetView zoomScale="90" zoomScaleNormal="90" workbookViewId="0">
      <selection activeCell="A21" sqref="A21:XFD21"/>
    </sheetView>
  </sheetViews>
  <sheetFormatPr defaultRowHeight="14.4" x14ac:dyDescent="0.3"/>
  <cols>
    <col min="1" max="1" width="60.44140625" customWidth="1"/>
    <col min="2" max="2" width="47.21875" bestFit="1" customWidth="1"/>
    <col min="3" max="3" width="38.5546875" customWidth="1"/>
    <col min="4" max="4" width="44" customWidth="1"/>
    <col min="5" max="13" width="4.88671875" customWidth="1"/>
  </cols>
  <sheetData>
    <row r="1" spans="1:13" ht="49.2" customHeight="1" x14ac:dyDescent="0.3">
      <c r="A1" s="128" t="s">
        <v>125</v>
      </c>
      <c r="B1" s="128" t="s">
        <v>442</v>
      </c>
      <c r="C1" s="616" t="s">
        <v>443</v>
      </c>
      <c r="D1" s="128" t="s">
        <v>131</v>
      </c>
      <c r="E1" s="165" t="s">
        <v>126</v>
      </c>
      <c r="F1" s="165" t="s">
        <v>127</v>
      </c>
      <c r="G1" s="165" t="s">
        <v>128</v>
      </c>
      <c r="H1" s="165" t="s">
        <v>129</v>
      </c>
      <c r="I1" s="165" t="s">
        <v>424</v>
      </c>
      <c r="J1" s="165" t="s">
        <v>134</v>
      </c>
      <c r="K1" s="165" t="s">
        <v>135</v>
      </c>
      <c r="L1" s="165" t="s">
        <v>432</v>
      </c>
    </row>
    <row r="2" spans="1:13" x14ac:dyDescent="0.3">
      <c r="A2" s="1088" t="s">
        <v>130</v>
      </c>
      <c r="B2" s="1088"/>
      <c r="C2" s="1088"/>
      <c r="D2" s="1088"/>
      <c r="E2" s="1088"/>
      <c r="F2" s="1088"/>
      <c r="G2" s="1088"/>
      <c r="H2" s="1088"/>
      <c r="I2" s="1088"/>
      <c r="J2" s="1088"/>
      <c r="K2" s="1088"/>
      <c r="L2" s="1088"/>
      <c r="M2" s="1088"/>
    </row>
    <row r="3" spans="1:13" x14ac:dyDescent="0.3">
      <c r="A3" t="s">
        <v>433</v>
      </c>
      <c r="B3" t="s">
        <v>466</v>
      </c>
      <c r="D3" t="s">
        <v>132</v>
      </c>
      <c r="E3" s="128" t="s">
        <v>133</v>
      </c>
      <c r="F3" s="128" t="s">
        <v>133</v>
      </c>
      <c r="G3" s="128" t="s">
        <v>133</v>
      </c>
      <c r="H3" s="128" t="s">
        <v>133</v>
      </c>
      <c r="I3" s="128" t="s">
        <v>133</v>
      </c>
      <c r="J3" s="128" t="s">
        <v>133</v>
      </c>
      <c r="K3" s="128" t="s">
        <v>133</v>
      </c>
      <c r="L3" s="128" t="s">
        <v>133</v>
      </c>
    </row>
    <row r="4" spans="1:13" x14ac:dyDescent="0.3">
      <c r="A4" t="s">
        <v>136</v>
      </c>
      <c r="B4" t="s">
        <v>467</v>
      </c>
      <c r="D4" t="s">
        <v>132</v>
      </c>
      <c r="E4" s="128" t="s">
        <v>133</v>
      </c>
      <c r="F4" s="128" t="s">
        <v>133</v>
      </c>
      <c r="G4" s="128" t="s">
        <v>133</v>
      </c>
      <c r="H4" s="128" t="s">
        <v>133</v>
      </c>
      <c r="I4" s="128" t="s">
        <v>133</v>
      </c>
      <c r="J4" s="128" t="s">
        <v>133</v>
      </c>
      <c r="K4" s="128" t="s">
        <v>133</v>
      </c>
      <c r="L4" s="128" t="s">
        <v>133</v>
      </c>
    </row>
    <row r="5" spans="1:13" x14ac:dyDescent="0.3">
      <c r="A5" t="s">
        <v>137</v>
      </c>
      <c r="B5" t="s">
        <v>468</v>
      </c>
      <c r="D5" t="s">
        <v>132</v>
      </c>
      <c r="E5" s="606" t="s">
        <v>133</v>
      </c>
      <c r="F5" s="606"/>
      <c r="G5" s="606"/>
      <c r="H5" s="606"/>
      <c r="I5" s="606" t="s">
        <v>133</v>
      </c>
      <c r="J5" s="606" t="s">
        <v>133</v>
      </c>
      <c r="K5" s="606"/>
      <c r="L5" s="606" t="s">
        <v>133</v>
      </c>
    </row>
    <row r="6" spans="1:13" x14ac:dyDescent="0.3">
      <c r="A6" t="s">
        <v>446</v>
      </c>
      <c r="B6" t="s">
        <v>469</v>
      </c>
      <c r="D6" t="s">
        <v>132</v>
      </c>
      <c r="E6" s="616"/>
      <c r="F6" s="616"/>
      <c r="G6" s="616"/>
      <c r="H6" s="616"/>
      <c r="I6" s="616"/>
      <c r="J6" s="616"/>
      <c r="K6" s="616" t="s">
        <v>133</v>
      </c>
      <c r="L6" s="616"/>
      <c r="M6" s="616"/>
    </row>
    <row r="7" spans="1:13" x14ac:dyDescent="0.3">
      <c r="A7" t="s">
        <v>444</v>
      </c>
      <c r="B7" t="s">
        <v>470</v>
      </c>
      <c r="D7" t="s">
        <v>132</v>
      </c>
      <c r="E7" s="616"/>
      <c r="F7" s="616" t="s">
        <v>133</v>
      </c>
      <c r="G7" s="616"/>
      <c r="H7" s="616"/>
      <c r="I7" s="616"/>
      <c r="J7" s="616"/>
      <c r="K7" s="616" t="s">
        <v>133</v>
      </c>
      <c r="L7" s="616"/>
      <c r="M7" s="616"/>
    </row>
    <row r="8" spans="1:13" x14ac:dyDescent="0.3">
      <c r="A8" t="s">
        <v>447</v>
      </c>
      <c r="B8" t="s">
        <v>471</v>
      </c>
      <c r="D8" t="s">
        <v>132</v>
      </c>
      <c r="E8" s="616"/>
      <c r="F8" s="616" t="s">
        <v>133</v>
      </c>
      <c r="G8" s="616" t="s">
        <v>133</v>
      </c>
      <c r="H8" s="616" t="s">
        <v>133</v>
      </c>
      <c r="I8" s="616"/>
      <c r="J8" s="616"/>
      <c r="K8" s="616"/>
      <c r="L8" s="616"/>
      <c r="M8" s="616"/>
    </row>
    <row r="9" spans="1:13" x14ac:dyDescent="0.3">
      <c r="A9" t="s">
        <v>450</v>
      </c>
      <c r="B9" t="s">
        <v>472</v>
      </c>
      <c r="D9" t="s">
        <v>132</v>
      </c>
      <c r="E9" s="616"/>
      <c r="F9" s="616"/>
      <c r="G9" s="616" t="s">
        <v>133</v>
      </c>
      <c r="H9" s="616" t="s">
        <v>133</v>
      </c>
      <c r="I9" s="616"/>
      <c r="J9" s="616"/>
      <c r="K9" s="616"/>
      <c r="L9" s="616"/>
      <c r="M9" s="616"/>
    </row>
    <row r="10" spans="1:13" x14ac:dyDescent="0.3">
      <c r="A10" s="166" t="s">
        <v>434</v>
      </c>
      <c r="B10" t="s">
        <v>473</v>
      </c>
      <c r="D10" t="s">
        <v>132</v>
      </c>
      <c r="E10" s="606" t="s">
        <v>133</v>
      </c>
      <c r="F10" s="606" t="s">
        <v>133</v>
      </c>
      <c r="G10" s="606" t="s">
        <v>133</v>
      </c>
      <c r="H10" s="606" t="s">
        <v>133</v>
      </c>
      <c r="I10" s="606" t="s">
        <v>133</v>
      </c>
      <c r="J10" s="606" t="s">
        <v>133</v>
      </c>
      <c r="K10" s="606" t="s">
        <v>133</v>
      </c>
      <c r="L10" s="606" t="s">
        <v>133</v>
      </c>
    </row>
    <row r="11" spans="1:13" x14ac:dyDescent="0.3">
      <c r="A11" t="s">
        <v>138</v>
      </c>
      <c r="B11" t="s">
        <v>474</v>
      </c>
      <c r="D11" t="s">
        <v>132</v>
      </c>
      <c r="E11" s="606" t="s">
        <v>133</v>
      </c>
      <c r="F11" s="606" t="s">
        <v>133</v>
      </c>
      <c r="G11" s="606" t="s">
        <v>133</v>
      </c>
      <c r="H11" s="606" t="s">
        <v>133</v>
      </c>
      <c r="I11" s="606" t="s">
        <v>133</v>
      </c>
      <c r="J11" s="606" t="s">
        <v>133</v>
      </c>
      <c r="K11" s="606" t="s">
        <v>133</v>
      </c>
      <c r="L11" s="606" t="s">
        <v>133</v>
      </c>
    </row>
    <row r="12" spans="1:13" x14ac:dyDescent="0.3">
      <c r="A12" t="s">
        <v>435</v>
      </c>
      <c r="B12" t="s">
        <v>475</v>
      </c>
      <c r="D12" t="s">
        <v>132</v>
      </c>
      <c r="E12" s="624" t="s">
        <v>133</v>
      </c>
      <c r="F12" s="624" t="s">
        <v>133</v>
      </c>
      <c r="G12" s="624" t="s">
        <v>133</v>
      </c>
      <c r="H12" s="624" t="s">
        <v>133</v>
      </c>
      <c r="I12" s="624" t="s">
        <v>133</v>
      </c>
      <c r="J12" s="128"/>
      <c r="K12" s="128"/>
      <c r="L12" s="128"/>
    </row>
    <row r="13" spans="1:13" x14ac:dyDescent="0.3">
      <c r="A13" t="s">
        <v>438</v>
      </c>
      <c r="B13" t="s">
        <v>476</v>
      </c>
      <c r="D13" t="s">
        <v>132</v>
      </c>
      <c r="E13" s="616"/>
      <c r="F13" s="616"/>
      <c r="G13" s="616"/>
      <c r="H13" s="616"/>
      <c r="I13" s="616"/>
      <c r="J13" s="616" t="s">
        <v>133</v>
      </c>
      <c r="K13" s="616" t="s">
        <v>133</v>
      </c>
      <c r="L13" s="616" t="s">
        <v>133</v>
      </c>
    </row>
    <row r="14" spans="1:13" x14ac:dyDescent="0.3">
      <c r="A14" t="s">
        <v>139</v>
      </c>
      <c r="B14" t="s">
        <v>477</v>
      </c>
      <c r="D14" t="s">
        <v>132</v>
      </c>
      <c r="E14" s="616"/>
      <c r="F14" s="616"/>
      <c r="G14" s="616"/>
      <c r="H14" s="616"/>
      <c r="I14" s="616"/>
      <c r="J14" s="624" t="s">
        <v>133</v>
      </c>
      <c r="K14" s="624" t="s">
        <v>133</v>
      </c>
      <c r="L14" s="624" t="s">
        <v>133</v>
      </c>
    </row>
    <row r="15" spans="1:13" x14ac:dyDescent="0.3">
      <c r="A15" t="s">
        <v>464</v>
      </c>
      <c r="B15" t="s">
        <v>465</v>
      </c>
      <c r="D15" t="s">
        <v>132</v>
      </c>
      <c r="E15" s="624"/>
      <c r="F15" s="624"/>
      <c r="G15" s="624"/>
      <c r="H15" s="624"/>
      <c r="I15" s="624"/>
      <c r="J15" s="624"/>
      <c r="K15" s="624"/>
      <c r="L15" s="624"/>
    </row>
    <row r="16" spans="1:13" x14ac:dyDescent="0.3">
      <c r="A16" t="s">
        <v>463</v>
      </c>
      <c r="C16" t="s">
        <v>459</v>
      </c>
      <c r="D16" t="s">
        <v>458</v>
      </c>
      <c r="E16" s="606" t="s">
        <v>133</v>
      </c>
      <c r="F16" s="606" t="s">
        <v>133</v>
      </c>
      <c r="G16" s="606" t="s">
        <v>133</v>
      </c>
      <c r="H16" s="606" t="s">
        <v>133</v>
      </c>
      <c r="I16" s="606" t="s">
        <v>133</v>
      </c>
      <c r="J16" s="606"/>
      <c r="K16" s="606"/>
      <c r="L16" s="606"/>
    </row>
    <row r="17" spans="1:12" x14ac:dyDescent="0.3">
      <c r="A17" t="s">
        <v>462</v>
      </c>
      <c r="C17" t="s">
        <v>460</v>
      </c>
      <c r="D17" t="s">
        <v>458</v>
      </c>
      <c r="E17" s="616"/>
      <c r="F17" s="616"/>
      <c r="G17" s="616"/>
      <c r="H17" s="616"/>
      <c r="I17" s="616"/>
      <c r="J17" s="616" t="s">
        <v>133</v>
      </c>
      <c r="K17" s="616" t="s">
        <v>133</v>
      </c>
      <c r="L17" s="616" t="s">
        <v>133</v>
      </c>
    </row>
    <row r="18" spans="1:12" x14ac:dyDescent="0.3">
      <c r="A18" t="s">
        <v>441</v>
      </c>
      <c r="C18" t="s">
        <v>452</v>
      </c>
      <c r="D18" t="s">
        <v>439</v>
      </c>
      <c r="E18" s="606" t="s">
        <v>133</v>
      </c>
      <c r="F18" s="606" t="s">
        <v>133</v>
      </c>
      <c r="G18" s="606" t="s">
        <v>133</v>
      </c>
      <c r="H18" s="606" t="s">
        <v>133</v>
      </c>
      <c r="I18" s="606" t="s">
        <v>133</v>
      </c>
      <c r="J18" s="606" t="s">
        <v>133</v>
      </c>
      <c r="K18" s="606" t="s">
        <v>133</v>
      </c>
      <c r="L18" s="606" t="s">
        <v>133</v>
      </c>
    </row>
    <row r="19" spans="1:12" x14ac:dyDescent="0.3">
      <c r="A19" t="s">
        <v>251</v>
      </c>
      <c r="B19" t="s">
        <v>440</v>
      </c>
      <c r="D19" t="s">
        <v>132</v>
      </c>
      <c r="J19" s="606" t="s">
        <v>133</v>
      </c>
      <c r="K19" s="606" t="s">
        <v>133</v>
      </c>
      <c r="L19" s="606" t="s">
        <v>133</v>
      </c>
    </row>
    <row r="20" spans="1:12" x14ac:dyDescent="0.3">
      <c r="A20" t="s">
        <v>273</v>
      </c>
      <c r="C20" t="s">
        <v>453</v>
      </c>
      <c r="D20" t="s">
        <v>274</v>
      </c>
      <c r="J20" s="616" t="s">
        <v>133</v>
      </c>
      <c r="K20" s="616" t="s">
        <v>133</v>
      </c>
      <c r="L20" s="616" t="s">
        <v>133</v>
      </c>
    </row>
    <row r="21" spans="1:12" x14ac:dyDescent="0.3">
      <c r="A21" t="s">
        <v>273</v>
      </c>
      <c r="C21" t="s">
        <v>453</v>
      </c>
      <c r="D21" t="s">
        <v>274</v>
      </c>
      <c r="J21" s="624" t="s">
        <v>133</v>
      </c>
      <c r="K21" s="624" t="s">
        <v>133</v>
      </c>
      <c r="L21" s="624" t="s">
        <v>133</v>
      </c>
    </row>
    <row r="22" spans="1:12" x14ac:dyDescent="0.3">
      <c r="J22" s="606"/>
      <c r="K22" s="606"/>
      <c r="L22" s="606"/>
    </row>
    <row r="23" spans="1:12" x14ac:dyDescent="0.3">
      <c r="E23" s="606"/>
      <c r="F23" s="606"/>
      <c r="G23" s="606"/>
      <c r="H23" s="606"/>
      <c r="I23" s="606"/>
      <c r="J23" s="606"/>
      <c r="K23" s="606"/>
      <c r="L23" s="606"/>
    </row>
  </sheetData>
  <mergeCells count="1">
    <mergeCell ref="A2:M2"/>
  </mergeCells>
  <pageMargins left="0.7" right="0.7" top="0.75" bottom="0.75" header="0.3" footer="0.3"/>
  <pageSetup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87C6C-6FC7-4587-AE88-D0357A300544}">
  <dimension ref="A1:J6"/>
  <sheetViews>
    <sheetView workbookViewId="0">
      <selection activeCell="C10" sqref="C10"/>
    </sheetView>
  </sheetViews>
  <sheetFormatPr defaultRowHeight="14.4" x14ac:dyDescent="0.3"/>
  <cols>
    <col min="1" max="1" width="48.6640625" customWidth="1"/>
    <col min="2" max="2" width="25.6640625" customWidth="1"/>
  </cols>
  <sheetData>
    <row r="1" spans="1:10" ht="57" x14ac:dyDescent="0.3">
      <c r="A1" t="s">
        <v>490</v>
      </c>
      <c r="B1" s="624" t="s">
        <v>480</v>
      </c>
      <c r="C1" s="165" t="s">
        <v>126</v>
      </c>
      <c r="D1" s="165" t="s">
        <v>127</v>
      </c>
      <c r="E1" s="165" t="s">
        <v>128</v>
      </c>
      <c r="F1" s="165" t="s">
        <v>129</v>
      </c>
      <c r="G1" s="165" t="s">
        <v>424</v>
      </c>
      <c r="H1" s="165" t="s">
        <v>134</v>
      </c>
      <c r="I1" s="165" t="s">
        <v>135</v>
      </c>
      <c r="J1" s="165" t="s">
        <v>432</v>
      </c>
    </row>
    <row r="2" spans="1:10" x14ac:dyDescent="0.3">
      <c r="A2" t="s">
        <v>481</v>
      </c>
      <c r="B2" t="s">
        <v>488</v>
      </c>
      <c r="C2" s="624" t="s">
        <v>133</v>
      </c>
      <c r="D2" s="624" t="s">
        <v>133</v>
      </c>
      <c r="E2" s="624" t="s">
        <v>133</v>
      </c>
      <c r="F2" s="624" t="s">
        <v>133</v>
      </c>
      <c r="G2" s="624"/>
      <c r="H2" s="624" t="s">
        <v>133</v>
      </c>
      <c r="I2" s="624" t="s">
        <v>133</v>
      </c>
      <c r="J2" s="624"/>
    </row>
    <row r="3" spans="1:10" x14ac:dyDescent="0.3">
      <c r="A3" t="s">
        <v>482</v>
      </c>
      <c r="B3" t="s">
        <v>484</v>
      </c>
      <c r="C3" s="624" t="s">
        <v>133</v>
      </c>
      <c r="D3" s="624" t="s">
        <v>133</v>
      </c>
      <c r="E3" s="624" t="s">
        <v>133</v>
      </c>
      <c r="F3" s="624" t="s">
        <v>133</v>
      </c>
      <c r="G3" s="624"/>
      <c r="H3" s="624"/>
      <c r="I3" s="624"/>
      <c r="J3" s="624"/>
    </row>
    <row r="4" spans="1:10" x14ac:dyDescent="0.3">
      <c r="A4" t="s">
        <v>483</v>
      </c>
      <c r="B4" t="s">
        <v>484</v>
      </c>
      <c r="C4" s="624" t="s">
        <v>133</v>
      </c>
      <c r="D4" s="624" t="s">
        <v>133</v>
      </c>
      <c r="E4" s="624" t="s">
        <v>133</v>
      </c>
      <c r="F4" s="624" t="s">
        <v>133</v>
      </c>
      <c r="G4" s="624" t="s">
        <v>133</v>
      </c>
      <c r="H4" s="624" t="s">
        <v>133</v>
      </c>
      <c r="I4" s="624" t="s">
        <v>133</v>
      </c>
      <c r="J4" s="624" t="s">
        <v>133</v>
      </c>
    </row>
    <row r="5" spans="1:10" x14ac:dyDescent="0.3">
      <c r="A5" t="s">
        <v>485</v>
      </c>
      <c r="B5" t="s">
        <v>486</v>
      </c>
      <c r="G5" s="624" t="s">
        <v>133</v>
      </c>
      <c r="H5" s="624"/>
      <c r="I5" s="624"/>
      <c r="J5" s="624" t="s">
        <v>133</v>
      </c>
    </row>
    <row r="6" spans="1:10" x14ac:dyDescent="0.3">
      <c r="A6" t="s">
        <v>487</v>
      </c>
      <c r="B6" t="s">
        <v>489</v>
      </c>
      <c r="H6" s="624" t="s">
        <v>133</v>
      </c>
      <c r="I6" s="624" t="s">
        <v>133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84E2BB-E3B3-4F0D-8E1B-4285F4F0DC10}">
  <dimension ref="A1:A3"/>
  <sheetViews>
    <sheetView workbookViewId="0">
      <selection activeCell="I7" sqref="I7"/>
    </sheetView>
  </sheetViews>
  <sheetFormatPr defaultRowHeight="14.4" x14ac:dyDescent="0.3"/>
  <sheetData>
    <row r="1" spans="1:1" x14ac:dyDescent="0.3">
      <c r="A1" t="s">
        <v>269</v>
      </c>
    </row>
    <row r="2" spans="1:1" x14ac:dyDescent="0.3">
      <c r="A2" t="s">
        <v>270</v>
      </c>
    </row>
    <row r="3" spans="1:1" x14ac:dyDescent="0.3">
      <c r="A3" t="s">
        <v>272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E6FED-8816-43C7-A8C3-97EB94935D02}">
  <dimension ref="A1:A11"/>
  <sheetViews>
    <sheetView workbookViewId="0">
      <selection activeCell="A20" sqref="A20"/>
    </sheetView>
  </sheetViews>
  <sheetFormatPr defaultRowHeight="14.4" x14ac:dyDescent="0.3"/>
  <cols>
    <col min="1" max="1" width="79.77734375" customWidth="1"/>
  </cols>
  <sheetData>
    <row r="1" spans="1:1" x14ac:dyDescent="0.3">
      <c r="A1" t="s">
        <v>264</v>
      </c>
    </row>
    <row r="2" spans="1:1" x14ac:dyDescent="0.3">
      <c r="A2" t="s">
        <v>257</v>
      </c>
    </row>
    <row r="3" spans="1:1" x14ac:dyDescent="0.3">
      <c r="A3" t="s">
        <v>258</v>
      </c>
    </row>
    <row r="4" spans="1:1" x14ac:dyDescent="0.3">
      <c r="A4" t="s">
        <v>259</v>
      </c>
    </row>
    <row r="5" spans="1:1" x14ac:dyDescent="0.3">
      <c r="A5" t="s">
        <v>260</v>
      </c>
    </row>
    <row r="6" spans="1:1" x14ac:dyDescent="0.3">
      <c r="A6" t="s">
        <v>261</v>
      </c>
    </row>
    <row r="7" spans="1:1" x14ac:dyDescent="0.3">
      <c r="A7" t="s">
        <v>262</v>
      </c>
    </row>
    <row r="8" spans="1:1" x14ac:dyDescent="0.3">
      <c r="A8" t="s">
        <v>263</v>
      </c>
    </row>
    <row r="9" spans="1:1" x14ac:dyDescent="0.3">
      <c r="A9" t="s">
        <v>436</v>
      </c>
    </row>
    <row r="10" spans="1:1" x14ac:dyDescent="0.3">
      <c r="A10" t="s">
        <v>437</v>
      </c>
    </row>
    <row r="11" spans="1:1" x14ac:dyDescent="0.3">
      <c r="A11" t="s">
        <v>491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BF23C-CA7A-4F47-BEB6-7334A443176C}">
  <dimension ref="B2:AL33"/>
  <sheetViews>
    <sheetView topLeftCell="D1" zoomScaleNormal="100" workbookViewId="0">
      <selection activeCell="D1" sqref="A1:XFD1048576"/>
    </sheetView>
  </sheetViews>
  <sheetFormatPr defaultRowHeight="14.4" x14ac:dyDescent="0.3"/>
  <cols>
    <col min="1" max="1" width="4.5546875" style="16" customWidth="1"/>
    <col min="2" max="2" width="4" style="16" customWidth="1"/>
    <col min="3" max="3" width="8.88671875" style="16"/>
    <col min="4" max="4" width="12.88671875" style="16" customWidth="1"/>
    <col min="5" max="5" width="4.33203125" style="16" customWidth="1"/>
    <col min="6" max="6" width="5.5546875" style="16" customWidth="1"/>
    <col min="7" max="8" width="4.21875" style="16" customWidth="1"/>
    <col min="9" max="9" width="2.21875" style="16" customWidth="1"/>
    <col min="10" max="12" width="10.77734375" style="16" customWidth="1"/>
    <col min="13" max="13" width="5.6640625" style="16" customWidth="1"/>
    <col min="14" max="14" width="10" style="16" customWidth="1"/>
    <col min="15" max="15" width="14.88671875" style="16" customWidth="1"/>
    <col min="16" max="16" width="2.109375" style="16" customWidth="1"/>
    <col min="17" max="17" width="12.77734375" style="16" customWidth="1"/>
    <col min="18" max="18" width="2.109375" style="16" customWidth="1"/>
    <col min="19" max="19" width="13.21875" style="16" customWidth="1"/>
    <col min="20" max="20" width="2.33203125" style="16" customWidth="1"/>
    <col min="21" max="21" width="11.77734375" style="16" customWidth="1"/>
    <col min="22" max="22" width="2.21875" style="16" customWidth="1"/>
    <col min="23" max="23" width="9.21875" style="16" customWidth="1"/>
    <col min="24" max="26" width="5.33203125" style="370" customWidth="1"/>
    <col min="27" max="29" width="3.77734375" style="370" customWidth="1"/>
    <col min="30" max="32" width="5.33203125" style="370" customWidth="1"/>
    <col min="33" max="33" width="3.5546875" style="16" customWidth="1"/>
    <col min="34" max="34" width="8.88671875" style="16" customWidth="1"/>
    <col min="35" max="35" width="8.88671875" style="16"/>
    <col min="36" max="36" width="3.21875" style="16" customWidth="1"/>
    <col min="37" max="16384" width="8.88671875" style="16"/>
  </cols>
  <sheetData>
    <row r="2" spans="2:38" x14ac:dyDescent="0.3">
      <c r="C2" s="451" t="s">
        <v>237</v>
      </c>
      <c r="D2" s="374"/>
      <c r="E2" s="374"/>
      <c r="F2" s="374"/>
      <c r="G2" s="374"/>
      <c r="H2" s="374"/>
      <c r="I2" s="374"/>
      <c r="J2" s="461" t="s">
        <v>357</v>
      </c>
      <c r="K2" s="374"/>
      <c r="L2" s="374"/>
      <c r="M2" s="374"/>
      <c r="N2" s="374" t="s">
        <v>354</v>
      </c>
      <c r="O2" s="451"/>
      <c r="P2" s="711"/>
      <c r="Q2" s="711"/>
      <c r="R2" s="711"/>
      <c r="S2" s="711"/>
      <c r="T2" s="711"/>
      <c r="U2" s="711"/>
      <c r="V2" s="711"/>
      <c r="W2" s="711"/>
      <c r="X2" s="711"/>
      <c r="Y2" s="711"/>
      <c r="Z2" s="369"/>
      <c r="AA2" s="369"/>
      <c r="AB2" s="369"/>
      <c r="AC2" s="369"/>
      <c r="AD2" s="805"/>
      <c r="AE2" s="805"/>
      <c r="AF2" s="805"/>
      <c r="AG2" s="805"/>
      <c r="AH2" s="375"/>
      <c r="AI2" s="95"/>
    </row>
    <row r="3" spans="2:38" x14ac:dyDescent="0.3">
      <c r="C3" s="451"/>
      <c r="D3" s="40"/>
      <c r="E3" s="40"/>
      <c r="F3" s="40"/>
      <c r="G3" s="40"/>
      <c r="H3" s="40"/>
      <c r="I3" s="40"/>
      <c r="J3" s="40"/>
      <c r="K3" s="451"/>
      <c r="L3" s="42"/>
      <c r="M3" s="42"/>
      <c r="N3" s="42"/>
      <c r="Z3" s="36"/>
      <c r="AA3" s="36"/>
      <c r="AB3" s="36"/>
      <c r="AC3" s="36"/>
      <c r="AG3" s="36"/>
      <c r="AH3" s="36"/>
      <c r="AI3" s="36"/>
    </row>
    <row r="4" spans="2:38" ht="6" customHeight="1" thickBot="1" x14ac:dyDescent="0.35"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8"/>
      <c r="Y4" s="38"/>
      <c r="Z4" s="38"/>
      <c r="AA4" s="38"/>
      <c r="AB4" s="38"/>
      <c r="AC4" s="38"/>
      <c r="AD4" s="38"/>
      <c r="AE4" s="38"/>
      <c r="AF4" s="38"/>
      <c r="AG4" s="39"/>
      <c r="AH4" s="39"/>
      <c r="AI4" s="39"/>
    </row>
    <row r="5" spans="2:38" ht="18.600000000000001" thickTop="1" x14ac:dyDescent="0.35">
      <c r="B5" s="378"/>
      <c r="C5" s="378"/>
      <c r="D5" s="378"/>
      <c r="E5" s="378"/>
      <c r="F5" s="378"/>
      <c r="G5" s="378"/>
      <c r="H5" s="378"/>
      <c r="I5" s="378"/>
    </row>
    <row r="6" spans="2:38" ht="15.6" customHeight="1" x14ac:dyDescent="0.35">
      <c r="B6" s="378"/>
      <c r="C6" s="378"/>
      <c r="D6" s="378"/>
      <c r="E6" s="737" t="s">
        <v>370</v>
      </c>
      <c r="F6" s="737"/>
      <c r="G6" s="737"/>
      <c r="H6" s="737"/>
      <c r="I6" s="378"/>
      <c r="J6" s="800" t="s">
        <v>353</v>
      </c>
      <c r="K6" s="800"/>
      <c r="L6" s="800"/>
      <c r="M6" s="800"/>
      <c r="N6" s="800"/>
      <c r="O6" s="800"/>
      <c r="P6" s="474"/>
      <c r="Q6" s="475" t="s">
        <v>302</v>
      </c>
      <c r="R6" s="476"/>
      <c r="S6" s="477" t="s">
        <v>303</v>
      </c>
      <c r="U6" s="478" t="s">
        <v>205</v>
      </c>
      <c r="W6" s="801" t="s">
        <v>370</v>
      </c>
      <c r="X6" s="801"/>
      <c r="Y6" s="801"/>
      <c r="Z6" s="801"/>
      <c r="AA6" s="801"/>
      <c r="AB6" s="801"/>
      <c r="AC6" s="801"/>
      <c r="AD6" s="801"/>
      <c r="AE6" s="801"/>
      <c r="AF6" s="801"/>
      <c r="AG6" s="801"/>
      <c r="AH6" s="801"/>
    </row>
    <row r="7" spans="2:38" ht="55.2" customHeight="1" x14ac:dyDescent="0.3">
      <c r="B7" s="720" t="s">
        <v>16</v>
      </c>
      <c r="C7" s="720"/>
      <c r="D7" s="720"/>
      <c r="E7" s="738" t="s">
        <v>456</v>
      </c>
      <c r="F7" s="738" t="s">
        <v>360</v>
      </c>
      <c r="G7" s="738" t="s">
        <v>113</v>
      </c>
      <c r="H7" s="738" t="s">
        <v>451</v>
      </c>
      <c r="I7" s="631"/>
      <c r="J7" s="457" t="s">
        <v>44</v>
      </c>
      <c r="K7" s="721" t="s">
        <v>46</v>
      </c>
      <c r="L7" s="721"/>
      <c r="M7" s="458"/>
      <c r="N7" s="458"/>
      <c r="O7" s="370"/>
      <c r="Q7" s="504"/>
      <c r="S7" s="502"/>
      <c r="U7" s="508"/>
      <c r="X7" s="802" t="s">
        <v>36</v>
      </c>
      <c r="Y7" s="802" t="s">
        <v>47</v>
      </c>
      <c r="Z7" s="802" t="s">
        <v>37</v>
      </c>
      <c r="AA7" s="444"/>
      <c r="AB7" s="802" t="s">
        <v>236</v>
      </c>
      <c r="AC7" s="802" t="s">
        <v>238</v>
      </c>
      <c r="AD7" s="802" t="s">
        <v>38</v>
      </c>
      <c r="AE7" s="802" t="s">
        <v>48</v>
      </c>
      <c r="AF7" s="802" t="s">
        <v>49</v>
      </c>
      <c r="AG7" s="799"/>
      <c r="AH7" s="799"/>
      <c r="AI7" s="441"/>
    </row>
    <row r="8" spans="2:38" s="439" customFormat="1" ht="16.8" customHeight="1" thickBot="1" x14ac:dyDescent="0.35">
      <c r="B8" s="790"/>
      <c r="C8" s="790"/>
      <c r="D8" s="790"/>
      <c r="E8" s="739"/>
      <c r="F8" s="739" t="s">
        <v>360</v>
      </c>
      <c r="G8" s="739"/>
      <c r="H8" s="739"/>
      <c r="I8" s="632"/>
      <c r="J8" s="487"/>
      <c r="K8" s="488" t="s">
        <v>351</v>
      </c>
      <c r="L8" s="488" t="s">
        <v>352</v>
      </c>
      <c r="M8" s="488"/>
      <c r="N8" s="488" t="s">
        <v>239</v>
      </c>
      <c r="O8" s="489" t="s">
        <v>240</v>
      </c>
      <c r="P8" s="470"/>
      <c r="Q8" s="505"/>
      <c r="R8" s="470"/>
      <c r="S8" s="503"/>
      <c r="T8" s="470"/>
      <c r="U8" s="509"/>
      <c r="V8" s="443"/>
      <c r="W8" s="462"/>
      <c r="X8" s="803"/>
      <c r="Y8" s="803"/>
      <c r="Z8" s="803"/>
      <c r="AA8" s="445" t="s">
        <v>169</v>
      </c>
      <c r="AB8" s="803"/>
      <c r="AC8" s="803"/>
      <c r="AD8" s="803"/>
      <c r="AE8" s="803"/>
      <c r="AF8" s="803"/>
      <c r="AG8" s="804"/>
      <c r="AH8" s="804"/>
      <c r="AI8" s="442"/>
      <c r="AL8" s="444"/>
    </row>
    <row r="9" spans="2:38" s="454" customFormat="1" ht="23.4" customHeight="1" x14ac:dyDescent="0.3">
      <c r="B9" s="707">
        <v>1</v>
      </c>
      <c r="C9" s="811" t="str">
        <f>'I Surface'!G5</f>
        <v>Burner L6</v>
      </c>
      <c r="D9" s="811"/>
      <c r="E9" s="784" t="s">
        <v>457</v>
      </c>
      <c r="F9" s="784" t="s">
        <v>362</v>
      </c>
      <c r="G9" s="518"/>
      <c r="H9" s="784"/>
      <c r="I9" s="619"/>
      <c r="J9" s="515">
        <f>'I Surface'!O14</f>
        <v>162897.38773357507</v>
      </c>
      <c r="K9" s="516">
        <f>'I Surface'!O18</f>
        <v>125881.55758990595</v>
      </c>
      <c r="L9" s="516">
        <f>'I Surface'!P18</f>
        <v>147129.38773357507</v>
      </c>
      <c r="M9" s="517" t="s">
        <v>71</v>
      </c>
      <c r="N9" s="807" t="s">
        <v>364</v>
      </c>
      <c r="O9" s="808" t="s">
        <v>363</v>
      </c>
      <c r="P9" s="471"/>
      <c r="Q9" s="625" t="s">
        <v>355</v>
      </c>
      <c r="R9" s="471"/>
      <c r="S9" s="629" t="s">
        <v>366</v>
      </c>
      <c r="T9" s="471"/>
      <c r="U9" s="627" t="s">
        <v>454</v>
      </c>
      <c r="V9" s="459"/>
      <c r="W9" s="459"/>
      <c r="X9" s="324"/>
      <c r="Y9" s="324"/>
      <c r="Z9" s="324"/>
      <c r="AA9" s="376"/>
      <c r="AB9" s="376"/>
      <c r="AC9" s="376"/>
      <c r="AD9" s="371"/>
      <c r="AE9" s="324"/>
      <c r="AF9" s="324"/>
      <c r="AG9" s="43"/>
      <c r="AH9" s="43"/>
      <c r="AI9" s="43"/>
      <c r="AJ9" s="22"/>
      <c r="AL9" s="455"/>
    </row>
    <row r="10" spans="2:38" s="454" customFormat="1" ht="23.4" customHeight="1" thickBot="1" x14ac:dyDescent="0.35">
      <c r="B10" s="708"/>
      <c r="C10" s="787"/>
      <c r="D10" s="787"/>
      <c r="E10" s="785"/>
      <c r="F10" s="785"/>
      <c r="G10" s="519"/>
      <c r="H10" s="785"/>
      <c r="I10" s="620"/>
      <c r="J10" s="479">
        <f>'I Surface'!O16</f>
        <v>8144.8693866787544</v>
      </c>
      <c r="K10" s="480">
        <f>'I Surface'!O20</f>
        <v>6294.0778794952985</v>
      </c>
      <c r="L10" s="480">
        <f>'I Surface'!P20</f>
        <v>7356.4693866787547</v>
      </c>
      <c r="M10" s="491" t="s">
        <v>24</v>
      </c>
      <c r="N10" s="783"/>
      <c r="O10" s="809"/>
      <c r="P10" s="481"/>
      <c r="Q10" s="626" t="s">
        <v>342</v>
      </c>
      <c r="R10" s="481"/>
      <c r="S10" s="630" t="s">
        <v>300</v>
      </c>
      <c r="T10" s="481"/>
      <c r="U10" s="628" t="s">
        <v>455</v>
      </c>
      <c r="V10" s="481"/>
      <c r="W10" s="481"/>
      <c r="X10" s="482"/>
      <c r="Y10" s="482"/>
      <c r="Z10" s="482"/>
      <c r="AA10" s="483"/>
      <c r="AB10" s="483"/>
      <c r="AC10" s="483"/>
      <c r="AD10" s="484"/>
      <c r="AE10" s="482"/>
      <c r="AF10" s="482"/>
      <c r="AG10" s="485"/>
      <c r="AH10" s="485"/>
      <c r="AI10" s="485"/>
      <c r="AJ10" s="486"/>
      <c r="AL10" s="455"/>
    </row>
    <row r="11" spans="2:38" s="22" customFormat="1" ht="24" customHeight="1" thickTop="1" x14ac:dyDescent="0.3">
      <c r="B11" s="718">
        <v>2</v>
      </c>
      <c r="C11" s="792" t="str">
        <f>Flange!G5</f>
        <v>Flange 2345</v>
      </c>
      <c r="D11" s="792"/>
      <c r="E11" s="613"/>
      <c r="F11" s="791" t="s">
        <v>361</v>
      </c>
      <c r="G11" s="788"/>
      <c r="H11" s="798">
        <f>Flange!$I$13</f>
        <v>6</v>
      </c>
      <c r="I11" s="623"/>
      <c r="J11" s="472">
        <f>Flange!O14</f>
        <v>27663.339823436028</v>
      </c>
      <c r="K11" s="473">
        <f>Flange!O18</f>
        <v>23111.769013089779</v>
      </c>
      <c r="L11" s="473">
        <f>Flange!P18</f>
        <v>26380.996790053694</v>
      </c>
      <c r="M11" s="490" t="s">
        <v>71</v>
      </c>
      <c r="N11" s="810" t="s">
        <v>365</v>
      </c>
      <c r="O11" s="810" t="s">
        <v>356</v>
      </c>
      <c r="P11" s="471"/>
      <c r="Q11" s="806" t="s">
        <v>355</v>
      </c>
      <c r="R11" s="471"/>
      <c r="S11" s="796" t="s">
        <v>366</v>
      </c>
      <c r="T11" s="471"/>
      <c r="U11" s="510"/>
      <c r="V11" s="459"/>
      <c r="W11" s="459"/>
      <c r="X11" s="324"/>
      <c r="Y11" s="324"/>
      <c r="Z11" s="324"/>
      <c r="AA11" s="376"/>
      <c r="AB11" s="376"/>
      <c r="AC11" s="376"/>
      <c r="AD11" s="371"/>
      <c r="AE11" s="324"/>
      <c r="AF11" s="324"/>
      <c r="AG11" s="43"/>
      <c r="AH11" s="43"/>
      <c r="AI11" s="43"/>
    </row>
    <row r="12" spans="2:38" s="22" customFormat="1" ht="24" customHeight="1" thickBot="1" x14ac:dyDescent="0.35">
      <c r="B12" s="708"/>
      <c r="C12" s="787"/>
      <c r="D12" s="787"/>
      <c r="E12" s="611"/>
      <c r="F12" s="789"/>
      <c r="G12" s="789"/>
      <c r="H12" s="785"/>
      <c r="I12" s="620"/>
      <c r="J12" s="479">
        <f>Flange!O16</f>
        <v>1383.1669911718016</v>
      </c>
      <c r="K12" s="480">
        <f>Flange!O20</f>
        <v>1155.588450654489</v>
      </c>
      <c r="L12" s="480">
        <f>Flange!P20</f>
        <v>1319.0498395026848</v>
      </c>
      <c r="M12" s="491" t="s">
        <v>24</v>
      </c>
      <c r="N12" s="783"/>
      <c r="O12" s="783"/>
      <c r="P12" s="481"/>
      <c r="Q12" s="795"/>
      <c r="R12" s="481"/>
      <c r="S12" s="797"/>
      <c r="T12" s="481"/>
      <c r="U12" s="511"/>
      <c r="V12" s="481"/>
      <c r="W12" s="481"/>
      <c r="X12" s="482"/>
      <c r="Y12" s="482"/>
      <c r="Z12" s="482"/>
      <c r="AA12" s="483"/>
      <c r="AB12" s="483"/>
      <c r="AC12" s="483"/>
      <c r="AD12" s="484"/>
      <c r="AE12" s="482"/>
      <c r="AF12" s="482"/>
      <c r="AG12" s="485"/>
      <c r="AH12" s="485"/>
      <c r="AI12" s="485"/>
      <c r="AJ12" s="486"/>
    </row>
    <row r="13" spans="2:38" ht="24" customHeight="1" thickTop="1" x14ac:dyDescent="0.3">
      <c r="B13" s="707">
        <v>3</v>
      </c>
      <c r="C13" s="786" t="str">
        <f>Valve!G5</f>
        <v>Valve 20456</v>
      </c>
      <c r="D13" s="786"/>
      <c r="E13" s="610"/>
      <c r="F13" s="788" t="s">
        <v>361</v>
      </c>
      <c r="G13" s="513"/>
      <c r="H13" s="784">
        <f>Valve!I13</f>
        <v>1</v>
      </c>
      <c r="I13" s="623"/>
      <c r="J13" s="492">
        <f>Valve!O14</f>
        <v>28012.473579065423</v>
      </c>
      <c r="K13" s="493">
        <f>Valve!O18</f>
        <v>25399.40359747169</v>
      </c>
      <c r="L13" s="493">
        <f>Valve!P18</f>
        <v>27136.53622785299</v>
      </c>
      <c r="M13" s="494" t="s">
        <v>71</v>
      </c>
      <c r="N13" s="782" t="s">
        <v>365</v>
      </c>
      <c r="O13" s="782" t="s">
        <v>356</v>
      </c>
      <c r="P13" s="495"/>
      <c r="Q13" s="794" t="s">
        <v>355</v>
      </c>
      <c r="R13" s="495"/>
      <c r="S13" s="507"/>
      <c r="T13" s="495"/>
      <c r="U13" s="512"/>
      <c r="V13" s="496"/>
      <c r="W13" s="496"/>
      <c r="X13" s="497"/>
      <c r="Y13" s="497"/>
      <c r="Z13" s="497"/>
      <c r="AA13" s="498"/>
      <c r="AB13" s="498"/>
      <c r="AC13" s="498"/>
      <c r="AD13" s="499"/>
      <c r="AE13" s="497"/>
      <c r="AF13" s="497"/>
      <c r="AG13" s="500"/>
      <c r="AH13" s="500"/>
      <c r="AI13" s="500"/>
      <c r="AJ13" s="500"/>
    </row>
    <row r="14" spans="2:38" ht="24" customHeight="1" thickBot="1" x14ac:dyDescent="0.35">
      <c r="B14" s="708"/>
      <c r="C14" s="787"/>
      <c r="D14" s="787"/>
      <c r="E14" s="611"/>
      <c r="F14" s="789"/>
      <c r="G14" s="514"/>
      <c r="H14" s="785"/>
      <c r="I14" s="620"/>
      <c r="J14" s="479">
        <f>Valve!O16</f>
        <v>1400.6236789532713</v>
      </c>
      <c r="K14" s="480">
        <f>Valve!O20</f>
        <v>1269.9701798735848</v>
      </c>
      <c r="L14" s="480">
        <f>Valve!P20</f>
        <v>1356.8268113926497</v>
      </c>
      <c r="M14" s="491" t="s">
        <v>24</v>
      </c>
      <c r="N14" s="783"/>
      <c r="O14" s="783"/>
      <c r="P14" s="481"/>
      <c r="Q14" s="795"/>
      <c r="R14" s="481"/>
      <c r="S14" s="506"/>
      <c r="T14" s="481"/>
      <c r="U14" s="511"/>
      <c r="V14" s="481"/>
      <c r="W14" s="481"/>
      <c r="X14" s="482"/>
      <c r="Y14" s="482"/>
      <c r="Z14" s="482"/>
      <c r="AA14" s="483"/>
      <c r="AB14" s="483"/>
      <c r="AC14" s="483"/>
      <c r="AD14" s="484"/>
      <c r="AE14" s="482"/>
      <c r="AF14" s="482"/>
      <c r="AG14" s="501"/>
      <c r="AH14" s="501"/>
      <c r="AI14" s="501"/>
      <c r="AJ14" s="501"/>
    </row>
    <row r="15" spans="2:38" ht="24" customHeight="1" thickTop="1" x14ac:dyDescent="0.3">
      <c r="B15" s="707">
        <v>4</v>
      </c>
      <c r="C15" s="786" t="str">
        <f>Pipe!G5</f>
        <v>Pipe 2119</v>
      </c>
      <c r="D15" s="786"/>
      <c r="E15" s="610"/>
      <c r="F15" s="788" t="s">
        <v>361</v>
      </c>
      <c r="G15" s="788">
        <v>10</v>
      </c>
      <c r="H15" s="784"/>
      <c r="I15" s="623"/>
      <c r="J15" s="492">
        <f>Pipe!O14</f>
        <v>1750.7283385631929</v>
      </c>
      <c r="K15" s="493">
        <f>Pipe!O18</f>
        <v>1180.0042951967296</v>
      </c>
      <c r="L15" s="493">
        <f>Pipe!P18</f>
        <v>1558.2779287475862</v>
      </c>
      <c r="M15" s="494" t="s">
        <v>71</v>
      </c>
      <c r="N15" s="782" t="s">
        <v>365</v>
      </c>
      <c r="O15" s="782" t="s">
        <v>368</v>
      </c>
      <c r="P15" s="495"/>
      <c r="Q15" s="794"/>
      <c r="R15" s="495"/>
      <c r="S15" s="507"/>
      <c r="T15" s="495"/>
      <c r="U15" s="512"/>
      <c r="V15" s="496"/>
      <c r="W15" s="496"/>
      <c r="X15" s="497"/>
      <c r="Y15" s="497"/>
      <c r="Z15" s="497"/>
      <c r="AA15" s="498"/>
      <c r="AB15" s="498"/>
      <c r="AC15" s="498"/>
      <c r="AD15" s="499"/>
      <c r="AE15" s="497"/>
      <c r="AF15" s="497"/>
      <c r="AG15" s="500"/>
      <c r="AH15" s="500"/>
      <c r="AI15" s="500"/>
      <c r="AJ15" s="500"/>
    </row>
    <row r="16" spans="2:38" ht="24" customHeight="1" thickBot="1" x14ac:dyDescent="0.35">
      <c r="B16" s="708"/>
      <c r="C16" s="787"/>
      <c r="D16" s="787"/>
      <c r="E16" s="611"/>
      <c r="F16" s="789"/>
      <c r="G16" s="789"/>
      <c r="H16" s="785"/>
      <c r="I16" s="620"/>
      <c r="J16" s="479">
        <f>Pipe!O16</f>
        <v>87.536416928159653</v>
      </c>
      <c r="K16" s="480">
        <f>Pipe!O20</f>
        <v>59.000214759836481</v>
      </c>
      <c r="L16" s="480">
        <f>Pipe!P20</f>
        <v>77.913896437379321</v>
      </c>
      <c r="M16" s="491" t="s">
        <v>24</v>
      </c>
      <c r="N16" s="783"/>
      <c r="O16" s="783"/>
      <c r="P16" s="481"/>
      <c r="Q16" s="795"/>
      <c r="R16" s="481"/>
      <c r="S16" s="506"/>
      <c r="T16" s="481"/>
      <c r="U16" s="511"/>
      <c r="V16" s="481"/>
      <c r="W16" s="481"/>
      <c r="X16" s="482"/>
      <c r="Y16" s="482"/>
      <c r="Z16" s="482"/>
      <c r="AA16" s="483"/>
      <c r="AB16" s="483"/>
      <c r="AC16" s="483"/>
      <c r="AD16" s="484"/>
      <c r="AE16" s="482"/>
      <c r="AF16" s="482"/>
      <c r="AG16" s="501"/>
      <c r="AH16" s="501"/>
      <c r="AI16" s="501"/>
      <c r="AJ16" s="501"/>
    </row>
    <row r="17" spans="2:35" ht="24" customHeight="1" thickTop="1" x14ac:dyDescent="0.3">
      <c r="B17" s="707">
        <v>5</v>
      </c>
      <c r="C17" s="786" t="s">
        <v>371</v>
      </c>
      <c r="D17" s="786"/>
      <c r="E17" s="610"/>
      <c r="F17" s="788"/>
      <c r="G17" s="788"/>
      <c r="H17" s="784"/>
      <c r="I17" s="623"/>
      <c r="J17" s="492"/>
      <c r="K17" s="493"/>
      <c r="L17" s="493"/>
      <c r="M17" s="494"/>
      <c r="N17" s="782"/>
      <c r="O17" s="782"/>
      <c r="P17" s="495"/>
      <c r="Q17" s="794" t="s">
        <v>369</v>
      </c>
      <c r="R17" s="495"/>
      <c r="S17" s="507"/>
      <c r="T17" s="495"/>
      <c r="U17" s="512"/>
      <c r="V17" s="496"/>
      <c r="W17" s="496"/>
      <c r="X17" s="324"/>
      <c r="Y17" s="324"/>
      <c r="Z17" s="376"/>
      <c r="AA17" s="324"/>
      <c r="AB17" s="324"/>
      <c r="AC17" s="371"/>
      <c r="AD17" s="371"/>
      <c r="AE17" s="324"/>
      <c r="AF17" s="324"/>
    </row>
    <row r="18" spans="2:35" ht="24" customHeight="1" thickBot="1" x14ac:dyDescent="0.35">
      <c r="B18" s="708"/>
      <c r="C18" s="787"/>
      <c r="D18" s="787"/>
      <c r="E18" s="611"/>
      <c r="F18" s="789"/>
      <c r="G18" s="789"/>
      <c r="H18" s="785"/>
      <c r="I18" s="620"/>
      <c r="J18" s="479"/>
      <c r="K18" s="480"/>
      <c r="L18" s="480"/>
      <c r="M18" s="491"/>
      <c r="N18" s="783"/>
      <c r="O18" s="783"/>
      <c r="P18" s="481"/>
      <c r="Q18" s="795"/>
      <c r="R18" s="481"/>
      <c r="S18" s="506"/>
      <c r="T18" s="481"/>
      <c r="U18" s="511"/>
      <c r="V18" s="481"/>
      <c r="W18" s="481"/>
      <c r="X18" s="324"/>
      <c r="Y18" s="324"/>
      <c r="Z18" s="376"/>
      <c r="AA18" s="324"/>
      <c r="AB18" s="324"/>
      <c r="AC18" s="371"/>
      <c r="AD18" s="371"/>
      <c r="AE18" s="324"/>
      <c r="AF18" s="324"/>
    </row>
    <row r="19" spans="2:35" ht="24" customHeight="1" thickTop="1" x14ac:dyDescent="0.3">
      <c r="B19" s="707">
        <v>6</v>
      </c>
      <c r="C19" s="786" t="s">
        <v>372</v>
      </c>
      <c r="D19" s="786"/>
      <c r="E19" s="610"/>
      <c r="F19" s="788"/>
      <c r="G19" s="788"/>
      <c r="H19" s="784"/>
      <c r="I19" s="623"/>
      <c r="J19" s="492"/>
      <c r="K19" s="493"/>
      <c r="L19" s="493"/>
      <c r="M19" s="494"/>
      <c r="N19" s="782"/>
      <c r="O19" s="782"/>
      <c r="P19" s="495"/>
      <c r="Q19" s="794"/>
      <c r="R19" s="495"/>
      <c r="S19" s="796" t="s">
        <v>373</v>
      </c>
      <c r="T19" s="495"/>
      <c r="U19" s="512"/>
      <c r="V19" s="496"/>
      <c r="W19" s="459"/>
      <c r="X19" s="324"/>
      <c r="Y19" s="324"/>
      <c r="Z19" s="376"/>
      <c r="AA19" s="324"/>
      <c r="AB19" s="376"/>
      <c r="AC19" s="324"/>
      <c r="AD19" s="371"/>
      <c r="AE19" s="324"/>
      <c r="AF19" s="324"/>
    </row>
    <row r="20" spans="2:35" ht="24" customHeight="1" thickBot="1" x14ac:dyDescent="0.35">
      <c r="B20" s="708"/>
      <c r="C20" s="787"/>
      <c r="D20" s="787"/>
      <c r="E20" s="611"/>
      <c r="F20" s="789"/>
      <c r="G20" s="789"/>
      <c r="H20" s="785"/>
      <c r="I20" s="620"/>
      <c r="J20" s="479"/>
      <c r="K20" s="480"/>
      <c r="L20" s="480"/>
      <c r="M20" s="491"/>
      <c r="N20" s="783"/>
      <c r="O20" s="783"/>
      <c r="P20" s="481"/>
      <c r="Q20" s="795"/>
      <c r="R20" s="481"/>
      <c r="S20" s="797"/>
      <c r="T20" s="481"/>
      <c r="U20" s="511"/>
      <c r="V20" s="481"/>
      <c r="W20" s="469"/>
    </row>
    <row r="21" spans="2:35" ht="22.2" customHeight="1" thickTop="1" x14ac:dyDescent="0.3">
      <c r="C21" s="770" t="s">
        <v>479</v>
      </c>
      <c r="D21" s="770"/>
      <c r="E21" s="770"/>
      <c r="F21" s="770"/>
      <c r="G21" s="770"/>
      <c r="H21" s="770"/>
      <c r="I21" s="770"/>
      <c r="J21" s="770"/>
      <c r="K21" s="449"/>
      <c r="L21" s="57" t="s">
        <v>241</v>
      </c>
      <c r="M21" s="57"/>
      <c r="N21" s="57" t="s">
        <v>193</v>
      </c>
      <c r="O21" s="60" t="e">
        <f>SUM(#REF!)</f>
        <v>#REF!</v>
      </c>
      <c r="P21" s="56" t="s">
        <v>45</v>
      </c>
      <c r="Q21" s="56"/>
      <c r="R21" s="56"/>
      <c r="S21" s="56"/>
      <c r="T21" s="56"/>
      <c r="U21" s="56"/>
      <c r="V21" s="56"/>
      <c r="W21" s="56"/>
    </row>
    <row r="22" spans="2:35" ht="10.199999999999999" customHeight="1" x14ac:dyDescent="0.3">
      <c r="C22" s="452"/>
      <c r="D22" s="452"/>
      <c r="E22" s="615"/>
      <c r="F22" s="460"/>
      <c r="G22" s="460"/>
      <c r="H22" s="460"/>
      <c r="I22" s="618"/>
      <c r="J22" s="452"/>
      <c r="K22" s="452"/>
      <c r="L22" s="55"/>
      <c r="M22" s="55"/>
      <c r="N22" s="55"/>
      <c r="O22" s="60"/>
      <c r="P22" s="59"/>
      <c r="Q22" s="59"/>
      <c r="R22" s="59"/>
      <c r="S22" s="59"/>
      <c r="T22" s="59"/>
      <c r="U22" s="59"/>
      <c r="V22" s="59"/>
      <c r="W22" s="59"/>
    </row>
    <row r="23" spans="2:35" ht="22.2" customHeight="1" x14ac:dyDescent="0.3">
      <c r="C23" s="793" t="s">
        <v>51</v>
      </c>
      <c r="D23" s="793"/>
      <c r="E23" s="793"/>
      <c r="F23" s="793"/>
      <c r="G23" s="793"/>
      <c r="H23" s="793"/>
      <c r="I23" s="793"/>
      <c r="J23" s="793"/>
      <c r="K23" s="450"/>
      <c r="L23" s="58" t="s">
        <v>241</v>
      </c>
      <c r="M23" s="58"/>
      <c r="N23" s="58" t="s">
        <v>193</v>
      </c>
      <c r="O23" s="450">
        <f>SUM(L11:L19)</f>
        <v>57829.601493986986</v>
      </c>
      <c r="P23" s="59"/>
      <c r="Q23" s="59"/>
      <c r="R23" s="59"/>
      <c r="S23" s="59"/>
      <c r="T23" s="59"/>
      <c r="U23" s="59"/>
      <c r="V23" s="59"/>
      <c r="W23" s="59"/>
    </row>
    <row r="24" spans="2:35" ht="22.2" customHeight="1" x14ac:dyDescent="0.3">
      <c r="C24" s="448"/>
      <c r="D24" s="448"/>
      <c r="E24" s="614"/>
      <c r="F24" s="463"/>
      <c r="G24" s="463"/>
      <c r="H24" s="463"/>
      <c r="I24" s="617"/>
      <c r="J24" s="448"/>
      <c r="K24" s="450"/>
      <c r="L24" s="58"/>
      <c r="M24" s="58"/>
      <c r="N24" s="58"/>
      <c r="O24" s="450"/>
      <c r="P24" s="59"/>
      <c r="Q24" s="59"/>
      <c r="R24" s="59"/>
      <c r="S24" s="59"/>
      <c r="T24" s="59"/>
      <c r="U24" s="59"/>
      <c r="V24" s="59"/>
      <c r="W24" s="59"/>
    </row>
    <row r="25" spans="2:35" ht="22.2" customHeight="1" x14ac:dyDescent="0.3">
      <c r="C25" s="448"/>
      <c r="D25" s="448"/>
      <c r="E25" s="614"/>
      <c r="F25" s="463"/>
      <c r="G25" s="463"/>
      <c r="H25" s="463"/>
      <c r="I25" s="617"/>
      <c r="J25" s="448"/>
      <c r="K25" s="450"/>
      <c r="L25" s="58"/>
      <c r="M25" s="58"/>
      <c r="N25" s="58"/>
      <c r="O25" s="450"/>
      <c r="P25" s="59"/>
      <c r="Q25" s="59"/>
      <c r="R25" s="59"/>
      <c r="S25" s="59"/>
      <c r="T25" s="59"/>
      <c r="U25" s="59"/>
      <c r="V25" s="59"/>
      <c r="W25" s="59"/>
    </row>
    <row r="26" spans="2:35" ht="22.2" customHeight="1" x14ac:dyDescent="0.3">
      <c r="C26" s="448"/>
      <c r="D26" s="448"/>
      <c r="E26" s="614"/>
      <c r="F26" s="463"/>
      <c r="G26" s="463"/>
      <c r="H26" s="463"/>
      <c r="I26" s="617"/>
      <c r="J26" s="448"/>
      <c r="K26" s="450"/>
      <c r="L26" s="58"/>
      <c r="M26" s="58"/>
      <c r="N26" s="58"/>
      <c r="O26" s="450"/>
      <c r="P26" s="59"/>
      <c r="Q26" s="59"/>
      <c r="R26" s="59"/>
      <c r="S26" s="59"/>
      <c r="T26" s="59"/>
      <c r="U26" s="59"/>
      <c r="V26" s="59"/>
      <c r="W26" s="59"/>
    </row>
    <row r="27" spans="2:35" ht="22.2" customHeight="1" x14ac:dyDescent="0.3">
      <c r="C27" s="448" t="s">
        <v>478</v>
      </c>
      <c r="D27" s="448"/>
      <c r="E27" s="614"/>
      <c r="F27" s="463"/>
      <c r="G27" s="463"/>
      <c r="H27" s="463"/>
      <c r="I27" s="617"/>
      <c r="J27" s="448"/>
      <c r="K27" s="450"/>
      <c r="L27" s="58"/>
      <c r="M27" s="58"/>
      <c r="N27" s="58"/>
      <c r="O27" s="450"/>
      <c r="P27" s="59"/>
      <c r="Q27" s="59"/>
      <c r="R27" s="59"/>
      <c r="S27" s="59"/>
      <c r="T27" s="59"/>
      <c r="U27" s="59"/>
      <c r="V27" s="59"/>
      <c r="W27" s="59"/>
    </row>
    <row r="28" spans="2:35" ht="22.2" customHeight="1" x14ac:dyDescent="0.35">
      <c r="B28" s="377"/>
      <c r="C28" s="448"/>
      <c r="D28" s="448"/>
      <c r="E28" s="614"/>
      <c r="F28" s="463"/>
      <c r="G28" s="463"/>
      <c r="H28" s="463"/>
      <c r="I28" s="617"/>
      <c r="J28" s="448"/>
      <c r="K28" s="450"/>
      <c r="L28" s="58"/>
      <c r="M28" s="58"/>
      <c r="N28" s="58"/>
      <c r="O28" s="450"/>
      <c r="P28" s="59"/>
      <c r="Q28" s="59"/>
      <c r="R28" s="59"/>
      <c r="S28" s="59"/>
      <c r="T28" s="59"/>
      <c r="U28" s="59"/>
      <c r="V28" s="59"/>
      <c r="W28" s="59"/>
    </row>
    <row r="29" spans="2:35" ht="37.799999999999997" customHeight="1" x14ac:dyDescent="0.3">
      <c r="B29" s="720"/>
      <c r="C29" s="720"/>
      <c r="D29" s="720"/>
      <c r="E29" s="612"/>
      <c r="F29" s="456"/>
      <c r="G29" s="456"/>
      <c r="H29" s="456"/>
      <c r="I29" s="622"/>
      <c r="J29" s="446"/>
      <c r="K29" s="721"/>
      <c r="L29" s="721"/>
      <c r="M29" s="458"/>
      <c r="N29" s="447"/>
      <c r="X29" s="621"/>
      <c r="Y29" s="621"/>
      <c r="Z29" s="621"/>
      <c r="AA29" s="444"/>
      <c r="AB29" s="621"/>
      <c r="AC29" s="621"/>
      <c r="AD29" s="621"/>
      <c r="AE29" s="621"/>
      <c r="AF29" s="621"/>
      <c r="AG29" s="799"/>
      <c r="AH29" s="799"/>
      <c r="AI29" s="441"/>
    </row>
    <row r="30" spans="2:35" ht="22.2" customHeight="1" x14ac:dyDescent="0.3">
      <c r="C30" s="448"/>
      <c r="D30" s="448"/>
      <c r="E30" s="614"/>
      <c r="F30" s="463"/>
      <c r="G30" s="463"/>
      <c r="H30" s="463"/>
      <c r="I30" s="617"/>
      <c r="J30" s="448"/>
      <c r="K30" s="450"/>
      <c r="L30" s="58"/>
      <c r="M30" s="58"/>
      <c r="N30" s="58"/>
      <c r="O30" s="450"/>
      <c r="P30" s="59"/>
      <c r="Q30" s="59"/>
      <c r="R30" s="59"/>
      <c r="S30" s="59"/>
      <c r="T30" s="59"/>
      <c r="U30" s="59"/>
      <c r="V30" s="59"/>
      <c r="W30" s="59"/>
    </row>
    <row r="31" spans="2:35" ht="22.2" customHeight="1" x14ac:dyDescent="0.35">
      <c r="B31" s="377"/>
      <c r="C31" s="448"/>
      <c r="D31" s="448"/>
      <c r="E31" s="614"/>
      <c r="F31" s="463"/>
      <c r="G31" s="463"/>
      <c r="H31" s="463"/>
      <c r="I31" s="617"/>
      <c r="J31" s="448"/>
      <c r="K31" s="450"/>
      <c r="L31" s="58"/>
      <c r="M31" s="58"/>
      <c r="N31" s="58"/>
      <c r="O31" s="450"/>
      <c r="P31" s="59"/>
      <c r="Q31" s="59"/>
      <c r="R31" s="59"/>
      <c r="S31" s="59"/>
      <c r="T31" s="59"/>
      <c r="U31" s="59"/>
      <c r="V31" s="59"/>
      <c r="W31" s="59"/>
    </row>
    <row r="32" spans="2:35" ht="22.2" customHeight="1" x14ac:dyDescent="0.3">
      <c r="C32" s="448"/>
      <c r="D32" s="448"/>
      <c r="E32" s="614"/>
      <c r="F32" s="463"/>
      <c r="G32" s="463"/>
      <c r="H32" s="463"/>
      <c r="I32" s="617"/>
      <c r="J32" s="448"/>
      <c r="K32" s="450"/>
      <c r="L32" s="58"/>
      <c r="M32" s="58"/>
      <c r="N32" s="58"/>
      <c r="O32" s="450"/>
      <c r="P32" s="59"/>
      <c r="Q32" s="59"/>
      <c r="R32" s="59"/>
      <c r="S32" s="59"/>
      <c r="T32" s="59"/>
      <c r="U32" s="59"/>
      <c r="V32" s="59"/>
      <c r="W32" s="59"/>
    </row>
    <row r="33" spans="3:23" ht="22.2" customHeight="1" x14ac:dyDescent="0.3">
      <c r="C33" s="448"/>
      <c r="D33" s="448"/>
      <c r="E33" s="614"/>
      <c r="F33" s="463"/>
      <c r="G33" s="463"/>
      <c r="H33" s="463"/>
      <c r="I33" s="617"/>
      <c r="J33" s="448"/>
      <c r="K33" s="450"/>
      <c r="L33" s="58"/>
      <c r="M33" s="58"/>
      <c r="N33" s="58"/>
      <c r="O33" s="450"/>
      <c r="P33" s="59"/>
      <c r="Q33" s="59"/>
      <c r="R33" s="59"/>
      <c r="S33" s="59"/>
      <c r="T33" s="59"/>
      <c r="U33" s="59"/>
      <c r="V33" s="59"/>
      <c r="W33" s="59"/>
    </row>
  </sheetData>
  <mergeCells count="73">
    <mergeCell ref="C13:D14"/>
    <mergeCell ref="F9:F10"/>
    <mergeCell ref="B9:B10"/>
    <mergeCell ref="C9:D10"/>
    <mergeCell ref="B11:B12"/>
    <mergeCell ref="Q11:Q12"/>
    <mergeCell ref="N13:N14"/>
    <mergeCell ref="H9:H10"/>
    <mergeCell ref="N9:N10"/>
    <mergeCell ref="O9:O10"/>
    <mergeCell ref="N11:N12"/>
    <mergeCell ref="O11:O12"/>
    <mergeCell ref="P2:Y2"/>
    <mergeCell ref="AD2:AG2"/>
    <mergeCell ref="X7:X8"/>
    <mergeCell ref="Y7:Y8"/>
    <mergeCell ref="Z7:Z8"/>
    <mergeCell ref="AB7:AB8"/>
    <mergeCell ref="AG29:AH29"/>
    <mergeCell ref="B29:D29"/>
    <mergeCell ref="K29:L29"/>
    <mergeCell ref="J6:O6"/>
    <mergeCell ref="W6:AH6"/>
    <mergeCell ref="AC7:AC8"/>
    <mergeCell ref="AD7:AD8"/>
    <mergeCell ref="K7:L7"/>
    <mergeCell ref="AE7:AE8"/>
    <mergeCell ref="AF7:AF8"/>
    <mergeCell ref="AG7:AH8"/>
    <mergeCell ref="H15:H16"/>
    <mergeCell ref="N15:N16"/>
    <mergeCell ref="G15:G16"/>
    <mergeCell ref="Q15:Q16"/>
    <mergeCell ref="G7:G8"/>
    <mergeCell ref="Q17:Q18"/>
    <mergeCell ref="B19:B20"/>
    <mergeCell ref="S11:S12"/>
    <mergeCell ref="O15:O16"/>
    <mergeCell ref="O19:O20"/>
    <mergeCell ref="Q19:Q20"/>
    <mergeCell ref="S19:S20"/>
    <mergeCell ref="C19:D20"/>
    <mergeCell ref="F19:F20"/>
    <mergeCell ref="G19:G20"/>
    <mergeCell ref="H19:H20"/>
    <mergeCell ref="N19:N20"/>
    <mergeCell ref="O13:O14"/>
    <mergeCell ref="Q13:Q14"/>
    <mergeCell ref="H11:H12"/>
    <mergeCell ref="G11:G12"/>
    <mergeCell ref="C23:J23"/>
    <mergeCell ref="C21:J21"/>
    <mergeCell ref="B17:B18"/>
    <mergeCell ref="C17:D18"/>
    <mergeCell ref="F17:F18"/>
    <mergeCell ref="G17:G18"/>
    <mergeCell ref="H17:H18"/>
    <mergeCell ref="E6:H6"/>
    <mergeCell ref="N17:N18"/>
    <mergeCell ref="O17:O18"/>
    <mergeCell ref="H13:H14"/>
    <mergeCell ref="B15:B16"/>
    <mergeCell ref="C15:D16"/>
    <mergeCell ref="F15:F16"/>
    <mergeCell ref="H7:H8"/>
    <mergeCell ref="B7:D8"/>
    <mergeCell ref="F7:F8"/>
    <mergeCell ref="F11:F12"/>
    <mergeCell ref="F13:F14"/>
    <mergeCell ref="E7:E8"/>
    <mergeCell ref="E9:E10"/>
    <mergeCell ref="C11:D12"/>
    <mergeCell ref="B13:B1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18112D-3449-48FA-9C60-E34A2EB706F8}">
  <dimension ref="A1:AA41"/>
  <sheetViews>
    <sheetView workbookViewId="0">
      <selection activeCell="L27" sqref="L27:M27"/>
    </sheetView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4"/>
      <c r="B2" s="822"/>
      <c r="C2" s="822"/>
      <c r="D2" s="823"/>
      <c r="E2" s="823"/>
      <c r="F2" s="823"/>
      <c r="G2" s="823"/>
      <c r="H2" s="822"/>
      <c r="I2" s="822"/>
      <c r="J2" s="822"/>
      <c r="K2" s="824"/>
      <c r="L2" s="824"/>
      <c r="M2" s="824"/>
      <c r="N2" s="4"/>
      <c r="O2" s="822"/>
      <c r="P2" s="822"/>
      <c r="Q2" s="817"/>
      <c r="R2" s="817"/>
      <c r="S2" s="109"/>
      <c r="T2" s="109"/>
    </row>
    <row r="3" spans="1:26" ht="6" customHeight="1" x14ac:dyDescent="0.4">
      <c r="A3" s="4"/>
      <c r="B3" s="4"/>
      <c r="C3" s="4"/>
      <c r="D3" s="4"/>
      <c r="E3" s="4"/>
      <c r="F3" s="4"/>
      <c r="G3" s="4"/>
      <c r="H3" s="110"/>
      <c r="I3" s="110"/>
      <c r="J3" s="110"/>
      <c r="K3" s="4"/>
      <c r="L3" s="4"/>
      <c r="M3" s="4"/>
      <c r="N3" s="4"/>
      <c r="O3" s="4"/>
      <c r="P3" s="4"/>
      <c r="Q3" s="4"/>
      <c r="R3" s="4"/>
      <c r="S3" s="4"/>
      <c r="T3" s="4"/>
    </row>
    <row r="4" spans="1:26" ht="16.8" customHeight="1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813"/>
      <c r="R4" s="813"/>
      <c r="S4" s="109"/>
      <c r="T4" s="109"/>
    </row>
    <row r="5" spans="1:26" ht="13.8" customHeight="1" x14ac:dyDescent="0.3">
      <c r="A5" s="4"/>
      <c r="B5" s="4"/>
      <c r="C5" s="107"/>
      <c r="D5" s="4"/>
      <c r="E5" s="4"/>
      <c r="F5" s="4"/>
      <c r="G5" s="4"/>
      <c r="H5" s="4"/>
      <c r="I5" s="4"/>
      <c r="J5" s="4"/>
      <c r="K5" s="4"/>
      <c r="L5" s="107"/>
      <c r="M5" s="4"/>
      <c r="N5" s="4"/>
      <c r="O5" s="4"/>
      <c r="P5" s="4"/>
      <c r="Q5" s="4"/>
      <c r="R5" s="4"/>
      <c r="S5" s="4"/>
      <c r="T5" s="4"/>
      <c r="W5" s="116"/>
      <c r="X5" s="116"/>
      <c r="Y5" s="116"/>
      <c r="Z5" s="116"/>
    </row>
    <row r="6" spans="1:26" ht="13.8" customHeight="1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W6" s="116"/>
      <c r="X6" s="116"/>
      <c r="Y6" s="116"/>
      <c r="Z6" s="116"/>
    </row>
    <row r="7" spans="1:26" ht="13.8" customHeight="1" x14ac:dyDescent="0.3">
      <c r="A7" s="4"/>
      <c r="B7" s="4"/>
      <c r="C7" s="4"/>
      <c r="D7" s="4"/>
      <c r="E7" s="4"/>
      <c r="F7" s="814"/>
      <c r="G7" s="814"/>
      <c r="H7" s="814"/>
      <c r="I7" s="4"/>
      <c r="J7" s="4"/>
      <c r="K7" s="4"/>
      <c r="L7" s="4"/>
      <c r="M7" s="4"/>
      <c r="N7" s="4"/>
      <c r="O7" s="815"/>
      <c r="P7" s="816"/>
      <c r="Q7" s="816"/>
      <c r="R7" s="69"/>
      <c r="S7" s="4"/>
      <c r="T7" s="4"/>
      <c r="W7" s="812"/>
      <c r="X7" s="812"/>
      <c r="Y7" s="812"/>
      <c r="Z7" s="116"/>
    </row>
    <row r="8" spans="1:26" ht="13.8" customHeight="1" x14ac:dyDescent="0.3">
      <c r="A8" s="4"/>
      <c r="B8" s="4"/>
      <c r="C8" s="4"/>
      <c r="D8" s="4"/>
      <c r="E8" s="4"/>
      <c r="F8" s="814"/>
      <c r="G8" s="814"/>
      <c r="H8" s="814"/>
      <c r="I8" s="4"/>
      <c r="J8" s="4"/>
      <c r="K8" s="4"/>
      <c r="L8" s="4"/>
      <c r="M8" s="4"/>
      <c r="N8" s="4"/>
      <c r="O8" s="816"/>
      <c r="P8" s="816"/>
      <c r="Q8" s="816"/>
      <c r="R8" s="69"/>
      <c r="S8" s="4"/>
      <c r="T8" s="4"/>
      <c r="W8" s="812"/>
      <c r="X8" s="812"/>
      <c r="Y8" s="812"/>
      <c r="Z8" s="116"/>
    </row>
    <row r="9" spans="1:26" ht="13.8" customHeight="1" x14ac:dyDescent="0.3">
      <c r="A9" s="4"/>
      <c r="B9" s="4"/>
      <c r="C9" s="4"/>
      <c r="D9" s="4"/>
      <c r="E9" s="4"/>
      <c r="F9" s="814"/>
      <c r="G9" s="814"/>
      <c r="H9" s="814"/>
      <c r="I9" s="4"/>
      <c r="J9" s="4"/>
      <c r="K9" s="4"/>
      <c r="L9" s="4"/>
      <c r="M9" s="4"/>
      <c r="N9" s="4"/>
      <c r="O9" s="816"/>
      <c r="P9" s="816"/>
      <c r="Q9" s="816"/>
      <c r="R9" s="69"/>
      <c r="S9" s="4"/>
      <c r="T9" s="4"/>
      <c r="W9" s="812"/>
      <c r="X9" s="812"/>
      <c r="Y9" s="812"/>
      <c r="Z9" s="116"/>
    </row>
    <row r="10" spans="1:26" ht="13.8" customHeight="1" x14ac:dyDescent="0.3">
      <c r="A10" s="4"/>
      <c r="B10" s="4"/>
      <c r="C10" s="4"/>
      <c r="D10" s="4"/>
      <c r="E10" s="4"/>
      <c r="F10" s="814"/>
      <c r="G10" s="814"/>
      <c r="H10" s="814"/>
      <c r="I10" s="4"/>
      <c r="J10" s="4"/>
      <c r="K10" s="4"/>
      <c r="L10" s="4"/>
      <c r="M10" s="4"/>
      <c r="N10" s="4"/>
      <c r="O10" s="816"/>
      <c r="P10" s="816"/>
      <c r="Q10" s="816"/>
      <c r="R10" s="69"/>
      <c r="S10" s="4"/>
      <c r="T10" s="4"/>
      <c r="W10" s="812"/>
      <c r="X10" s="812"/>
      <c r="Y10" s="812"/>
      <c r="Z10" s="116"/>
    </row>
    <row r="11" spans="1:26" ht="13.8" customHeight="1" x14ac:dyDescent="0.3">
      <c r="A11" s="4"/>
      <c r="B11" s="4"/>
      <c r="C11" s="4"/>
      <c r="D11" s="4"/>
      <c r="E11" s="4"/>
      <c r="F11" s="814"/>
      <c r="G11" s="814"/>
      <c r="H11" s="814"/>
      <c r="I11" s="4"/>
      <c r="J11" s="4"/>
      <c r="K11" s="4"/>
      <c r="L11" s="4"/>
      <c r="M11" s="4"/>
      <c r="N11" s="4"/>
      <c r="O11" s="816"/>
      <c r="P11" s="816"/>
      <c r="Q11" s="816"/>
      <c r="R11" s="69"/>
      <c r="S11" s="4"/>
      <c r="T11" s="4"/>
      <c r="W11" s="116"/>
      <c r="X11" s="116"/>
      <c r="Y11" s="116"/>
      <c r="Z11" s="116"/>
    </row>
    <row r="12" spans="1:26" ht="13.8" customHeight="1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</row>
    <row r="13" spans="1:26" ht="13.8" customHeight="1" x14ac:dyDescent="0.3">
      <c r="A13" s="4"/>
      <c r="B13" s="4"/>
      <c r="C13" s="107"/>
      <c r="D13" s="4"/>
      <c r="E13" s="4"/>
      <c r="F13" s="4"/>
      <c r="G13" s="4"/>
      <c r="H13" s="4"/>
      <c r="I13" s="4"/>
      <c r="J13" s="4"/>
      <c r="K13" s="4"/>
      <c r="L13" s="107"/>
      <c r="M13" s="4"/>
      <c r="N13" s="4"/>
      <c r="O13" s="4"/>
      <c r="P13" s="4"/>
      <c r="Q13" s="4"/>
      <c r="R13" s="4"/>
      <c r="S13" s="4"/>
      <c r="T13" s="4"/>
    </row>
    <row r="14" spans="1:26" ht="13.8" customHeight="1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</row>
    <row r="15" spans="1:26" ht="13.8" customHeight="1" x14ac:dyDescent="0.3">
      <c r="A15" s="4"/>
      <c r="B15" s="4"/>
      <c r="C15" s="4"/>
      <c r="D15" s="4"/>
      <c r="E15" s="4"/>
      <c r="F15" s="814"/>
      <c r="G15" s="814"/>
      <c r="H15" s="814"/>
      <c r="I15" s="4"/>
      <c r="J15" s="4"/>
      <c r="K15" s="4"/>
      <c r="L15" s="4"/>
      <c r="M15" s="4"/>
      <c r="N15" s="4"/>
      <c r="O15" s="815"/>
      <c r="P15" s="816"/>
      <c r="Q15" s="816"/>
      <c r="R15" s="69"/>
      <c r="S15" s="4"/>
      <c r="T15" s="4"/>
    </row>
    <row r="16" spans="1:26" ht="13.8" customHeight="1" x14ac:dyDescent="0.3">
      <c r="A16" s="4"/>
      <c r="B16" s="4"/>
      <c r="C16" s="4"/>
      <c r="D16" s="4"/>
      <c r="E16" s="4"/>
      <c r="F16" s="814"/>
      <c r="G16" s="814"/>
      <c r="H16" s="814"/>
      <c r="I16" s="4"/>
      <c r="J16" s="19"/>
      <c r="K16" s="19"/>
      <c r="L16" s="4"/>
      <c r="M16" s="4"/>
      <c r="N16" s="4"/>
      <c r="O16" s="816"/>
      <c r="P16" s="816"/>
      <c r="Q16" s="816"/>
      <c r="R16" s="69"/>
      <c r="S16" s="4"/>
      <c r="T16" s="4"/>
    </row>
    <row r="17" spans="1:24" ht="13.8" customHeight="1" x14ac:dyDescent="0.3">
      <c r="A17" s="4"/>
      <c r="B17" s="4"/>
      <c r="C17" s="4"/>
      <c r="D17" s="4"/>
      <c r="E17" s="4"/>
      <c r="F17" s="814"/>
      <c r="G17" s="814"/>
      <c r="H17" s="814"/>
      <c r="I17" s="4"/>
      <c r="J17" s="19"/>
      <c r="K17" s="19"/>
      <c r="L17" s="4"/>
      <c r="M17" s="4"/>
      <c r="N17" s="4"/>
      <c r="O17" s="816"/>
      <c r="P17" s="816"/>
      <c r="Q17" s="816"/>
      <c r="R17" s="69"/>
      <c r="S17" s="4"/>
      <c r="T17" s="4"/>
    </row>
    <row r="18" spans="1:24" ht="13.8" customHeight="1" x14ac:dyDescent="0.3">
      <c r="A18" s="4"/>
      <c r="B18" s="4"/>
      <c r="C18" s="4"/>
      <c r="D18" s="4"/>
      <c r="E18" s="4"/>
      <c r="F18" s="814"/>
      <c r="G18" s="814"/>
      <c r="H18" s="814"/>
      <c r="I18" s="4"/>
      <c r="J18" s="19"/>
      <c r="K18" s="19"/>
      <c r="L18" s="4"/>
      <c r="M18" s="4"/>
      <c r="N18" s="4"/>
      <c r="O18" s="816"/>
      <c r="P18" s="816"/>
      <c r="Q18" s="816"/>
      <c r="R18" s="69"/>
      <c r="S18" s="4"/>
      <c r="T18" s="4"/>
    </row>
    <row r="19" spans="1:24" ht="13.8" customHeight="1" x14ac:dyDescent="0.3">
      <c r="A19" s="4"/>
      <c r="B19" s="4"/>
      <c r="C19" s="4"/>
      <c r="D19" s="4"/>
      <c r="E19" s="4"/>
      <c r="F19" s="814"/>
      <c r="G19" s="814"/>
      <c r="H19" s="814"/>
      <c r="I19" s="4"/>
      <c r="J19" s="19"/>
      <c r="K19" s="19"/>
      <c r="L19" s="4"/>
      <c r="M19" s="4"/>
      <c r="N19" s="4"/>
      <c r="O19" s="816"/>
      <c r="P19" s="816"/>
      <c r="Q19" s="816"/>
      <c r="R19" s="69"/>
      <c r="S19" s="4"/>
      <c r="T19" s="4"/>
      <c r="X19" s="2" t="s">
        <v>250</v>
      </c>
    </row>
    <row r="20" spans="1:24" ht="13.8" customHeight="1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X20" s="2" t="s">
        <v>249</v>
      </c>
    </row>
    <row r="21" spans="1:24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</row>
    <row r="22" spans="1:24" x14ac:dyDescent="0.3">
      <c r="A22" s="1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1"/>
      <c r="T22" s="1"/>
    </row>
    <row r="23" spans="1:24" x14ac:dyDescent="0.3">
      <c r="A23" s="1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1"/>
      <c r="T23" s="1"/>
    </row>
    <row r="24" spans="1:24" x14ac:dyDescent="0.3">
      <c r="A24" s="1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1"/>
      <c r="T24" s="1"/>
    </row>
    <row r="25" spans="1:24" ht="18" x14ac:dyDescent="0.35">
      <c r="A25" s="1"/>
      <c r="B25" s="818" t="s">
        <v>99</v>
      </c>
      <c r="C25" s="818"/>
      <c r="D25" s="819" t="s">
        <v>235</v>
      </c>
      <c r="E25" s="819"/>
      <c r="F25" s="819"/>
      <c r="G25" s="819"/>
      <c r="H25" s="115"/>
      <c r="I25" s="115"/>
      <c r="J25" s="818" t="s">
        <v>0</v>
      </c>
      <c r="K25" s="818"/>
      <c r="L25" s="821">
        <v>43223</v>
      </c>
      <c r="M25" s="821"/>
      <c r="N25" s="3"/>
      <c r="O25" s="818"/>
      <c r="P25" s="818"/>
      <c r="Q25" s="108"/>
      <c r="R25" s="108"/>
      <c r="S25" s="3"/>
      <c r="T25" s="1"/>
    </row>
    <row r="26" spans="1:24" x14ac:dyDescent="0.3">
      <c r="A26" s="1"/>
      <c r="B26" s="1"/>
      <c r="C26" s="4"/>
      <c r="D26" s="4"/>
      <c r="E26" s="4"/>
      <c r="F26" s="4"/>
      <c r="G26" s="4"/>
      <c r="H26" s="4"/>
      <c r="I26" s="4"/>
      <c r="J26" s="15"/>
      <c r="K26" s="4"/>
      <c r="L26" s="1"/>
      <c r="M26" s="1"/>
      <c r="N26" s="1"/>
      <c r="O26" s="1"/>
      <c r="P26" s="1"/>
      <c r="Q26" s="1"/>
      <c r="R26" s="1"/>
      <c r="S26" s="1"/>
      <c r="T26" s="1"/>
    </row>
    <row r="27" spans="1:24" ht="18" x14ac:dyDescent="0.35">
      <c r="A27" s="1"/>
      <c r="B27" s="818" t="s">
        <v>234</v>
      </c>
      <c r="C27" s="818"/>
      <c r="D27" s="819" t="s">
        <v>35</v>
      </c>
      <c r="E27" s="819"/>
      <c r="F27" s="819"/>
      <c r="G27" s="819"/>
      <c r="H27" s="1"/>
      <c r="I27" s="1"/>
      <c r="J27" s="818" t="s">
        <v>1</v>
      </c>
      <c r="K27" s="818"/>
      <c r="L27" s="820">
        <v>0.05</v>
      </c>
      <c r="M27" s="820"/>
      <c r="N27" s="3" t="s">
        <v>189</v>
      </c>
      <c r="O27" s="1"/>
      <c r="P27" s="1"/>
      <c r="Q27" s="1"/>
      <c r="R27" s="1"/>
      <c r="S27" s="1"/>
      <c r="T27" s="1"/>
    </row>
    <row r="28" spans="1:24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4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4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4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4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2:R2"/>
    <mergeCell ref="B27:C27"/>
    <mergeCell ref="D27:G27"/>
    <mergeCell ref="J27:K27"/>
    <mergeCell ref="L27:M27"/>
    <mergeCell ref="J25:K25"/>
    <mergeCell ref="L25:M25"/>
    <mergeCell ref="B2:C2"/>
    <mergeCell ref="D2:G2"/>
    <mergeCell ref="H2:J2"/>
    <mergeCell ref="K2:M2"/>
    <mergeCell ref="O2:P2"/>
    <mergeCell ref="B25:C25"/>
    <mergeCell ref="D25:G25"/>
    <mergeCell ref="O25:P25"/>
    <mergeCell ref="W7:Y10"/>
    <mergeCell ref="Q4:R4"/>
    <mergeCell ref="F7:H11"/>
    <mergeCell ref="O7:Q11"/>
    <mergeCell ref="F15:H19"/>
    <mergeCell ref="O15:Q19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EDB0B-1526-4B30-82BC-2A0BBBE7FE8A}">
  <dimension ref="A1:AA44"/>
  <sheetViews>
    <sheetView workbookViewId="0">
      <selection activeCell="W7" sqref="W7:Y11"/>
    </sheetView>
  </sheetViews>
  <sheetFormatPr defaultRowHeight="14.4" x14ac:dyDescent="0.3"/>
  <cols>
    <col min="1" max="2" width="5.21875" customWidth="1"/>
    <col min="4" max="4" width="10.5546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7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7" ht="16.8" customHeight="1" x14ac:dyDescent="0.35">
      <c r="A2" s="521"/>
      <c r="B2" s="822"/>
      <c r="C2" s="822"/>
      <c r="D2" s="823"/>
      <c r="E2" s="823"/>
      <c r="F2" s="823"/>
      <c r="G2" s="823"/>
      <c r="H2" s="822"/>
      <c r="I2" s="822"/>
      <c r="J2" s="822"/>
      <c r="K2" s="824"/>
      <c r="L2" s="824"/>
      <c r="M2" s="824"/>
      <c r="N2" s="521"/>
      <c r="O2" s="822"/>
      <c r="P2" s="822"/>
      <c r="Q2" s="817"/>
      <c r="R2" s="817"/>
      <c r="S2" s="109"/>
      <c r="T2" s="109"/>
    </row>
    <row r="3" spans="1:27" ht="6" customHeight="1" x14ac:dyDescent="0.4">
      <c r="A3" s="521"/>
      <c r="B3" s="521"/>
      <c r="C3" s="521"/>
      <c r="D3" s="521"/>
      <c r="E3" s="521"/>
      <c r="F3" s="521"/>
      <c r="G3" s="521"/>
      <c r="H3" s="110"/>
      <c r="I3" s="110"/>
      <c r="J3" s="110"/>
      <c r="K3" s="521"/>
      <c r="L3" s="521"/>
      <c r="M3" s="521"/>
      <c r="N3" s="521"/>
      <c r="O3" s="521"/>
      <c r="P3" s="521"/>
      <c r="Q3" s="521"/>
      <c r="R3" s="521"/>
      <c r="S3" s="521"/>
      <c r="T3" s="521"/>
    </row>
    <row r="4" spans="1:27" ht="16.2" customHeight="1" x14ac:dyDescent="0.3">
      <c r="A4" s="521"/>
      <c r="B4" s="521"/>
      <c r="C4" s="827" t="s">
        <v>381</v>
      </c>
      <c r="D4" s="827"/>
      <c r="E4" s="521"/>
      <c r="F4" s="825"/>
      <c r="G4" s="825"/>
      <c r="H4" s="825"/>
      <c r="I4" s="825"/>
      <c r="J4" s="825"/>
      <c r="K4" s="825"/>
      <c r="L4" s="825"/>
      <c r="M4" s="825"/>
      <c r="N4" s="521"/>
      <c r="O4" s="521"/>
      <c r="P4" s="521"/>
      <c r="Q4" s="813"/>
      <c r="R4" s="813"/>
      <c r="S4" s="109"/>
      <c r="T4" s="109"/>
    </row>
    <row r="5" spans="1:27" ht="16.2" customHeight="1" x14ac:dyDescent="0.3">
      <c r="A5" s="521"/>
      <c r="B5" s="521"/>
      <c r="C5" s="536"/>
      <c r="D5" s="537"/>
      <c r="E5" s="521"/>
      <c r="F5" s="521"/>
      <c r="G5" s="521"/>
      <c r="H5" s="521"/>
      <c r="I5" s="521"/>
      <c r="J5" s="521"/>
      <c r="K5" s="521"/>
      <c r="L5" s="107"/>
      <c r="M5" s="521"/>
      <c r="N5" s="521"/>
      <c r="O5" s="521"/>
      <c r="P5" s="521"/>
      <c r="Q5" s="521"/>
      <c r="R5" s="521"/>
      <c r="S5" s="521"/>
      <c r="T5" s="521"/>
      <c r="W5" s="116"/>
      <c r="X5" s="116"/>
      <c r="Y5" s="116"/>
      <c r="Z5" s="116"/>
    </row>
    <row r="6" spans="1:27" ht="16.2" customHeight="1" x14ac:dyDescent="0.3">
      <c r="A6" s="521"/>
      <c r="B6" s="521"/>
      <c r="C6" s="827" t="s">
        <v>382</v>
      </c>
      <c r="D6" s="827"/>
      <c r="E6" s="521"/>
      <c r="F6" s="825"/>
      <c r="G6" s="825"/>
      <c r="H6" s="535" t="s">
        <v>189</v>
      </c>
      <c r="I6" s="15"/>
      <c r="J6" s="533"/>
      <c r="K6" s="813"/>
      <c r="L6" s="813"/>
      <c r="M6" s="534"/>
      <c r="N6" s="521"/>
      <c r="O6" s="521"/>
      <c r="P6" s="521"/>
      <c r="Q6" s="521"/>
      <c r="R6" s="521"/>
      <c r="S6" s="521"/>
      <c r="T6" s="521"/>
      <c r="W6" s="116"/>
      <c r="X6" s="116"/>
      <c r="Y6" s="116"/>
      <c r="Z6" s="116"/>
    </row>
    <row r="7" spans="1:27" ht="16.2" customHeight="1" x14ac:dyDescent="0.3">
      <c r="A7" s="521"/>
      <c r="B7" s="521"/>
      <c r="C7" s="537"/>
      <c r="D7" s="537"/>
      <c r="E7" s="521"/>
      <c r="F7" s="15"/>
      <c r="G7" s="15"/>
      <c r="H7" s="15"/>
      <c r="I7" s="521"/>
      <c r="J7" s="521"/>
      <c r="K7" s="521"/>
      <c r="L7" s="15"/>
      <c r="M7" s="15"/>
      <c r="N7" s="15"/>
      <c r="O7" s="15"/>
      <c r="P7" s="15"/>
      <c r="Q7" s="15"/>
      <c r="R7" s="522"/>
      <c r="S7" s="521"/>
      <c r="T7" s="521"/>
      <c r="W7" s="812"/>
      <c r="X7" s="812"/>
      <c r="Y7" s="812"/>
      <c r="Z7" s="116"/>
    </row>
    <row r="8" spans="1:27" ht="16.2" customHeight="1" x14ac:dyDescent="0.3">
      <c r="A8" s="521"/>
      <c r="B8" s="521"/>
      <c r="C8" s="537"/>
      <c r="D8" s="537"/>
      <c r="E8" s="521"/>
      <c r="F8" s="15"/>
      <c r="G8" s="15"/>
      <c r="H8" s="15"/>
      <c r="I8" s="521"/>
      <c r="J8" s="521"/>
      <c r="K8" s="521"/>
      <c r="L8" s="15"/>
      <c r="M8" s="15"/>
      <c r="N8" s="15"/>
      <c r="O8" s="15"/>
      <c r="P8" s="15"/>
      <c r="Q8" s="15"/>
      <c r="R8" s="522"/>
      <c r="S8" s="521"/>
      <c r="T8" s="521"/>
      <c r="W8" s="812"/>
      <c r="X8" s="812"/>
      <c r="Y8" s="812"/>
      <c r="Z8" s="116"/>
    </row>
    <row r="9" spans="1:27" s="540" customFormat="1" ht="17.399999999999999" customHeight="1" x14ac:dyDescent="0.3">
      <c r="A9" s="26"/>
      <c r="B9" s="26"/>
      <c r="C9" s="828" t="s">
        <v>383</v>
      </c>
      <c r="D9" s="828"/>
      <c r="E9" s="26"/>
      <c r="F9" s="826"/>
      <c r="G9" s="826"/>
      <c r="H9" s="826"/>
      <c r="I9" s="826"/>
      <c r="J9" s="26"/>
      <c r="K9" s="544" t="s">
        <v>387</v>
      </c>
      <c r="L9" s="825"/>
      <c r="M9" s="825"/>
      <c r="N9" s="825"/>
      <c r="O9" s="825"/>
      <c r="P9" s="15"/>
      <c r="Q9" s="825"/>
      <c r="R9" s="825"/>
      <c r="S9" s="825"/>
      <c r="T9" s="26"/>
      <c r="U9" s="538"/>
      <c r="V9" s="538"/>
      <c r="W9" s="812"/>
      <c r="X9" s="812"/>
      <c r="Y9" s="812"/>
      <c r="Z9" s="539"/>
      <c r="AA9" s="538"/>
    </row>
    <row r="10" spans="1:27" s="540" customFormat="1" ht="17.399999999999999" customHeight="1" x14ac:dyDescent="0.3">
      <c r="A10" s="26"/>
      <c r="B10" s="26"/>
      <c r="C10" s="541"/>
      <c r="D10" s="541"/>
      <c r="E10" s="26"/>
      <c r="F10" s="26"/>
      <c r="G10" s="26"/>
      <c r="H10" s="26"/>
      <c r="I10" s="26"/>
      <c r="J10" s="26"/>
      <c r="K10" s="544"/>
      <c r="L10" s="15"/>
      <c r="M10" s="15"/>
      <c r="N10" s="15"/>
      <c r="O10" s="15"/>
      <c r="P10" s="15"/>
      <c r="Q10" s="15"/>
      <c r="R10" s="523"/>
      <c r="S10" s="26"/>
      <c r="T10" s="26"/>
      <c r="U10" s="538"/>
      <c r="V10" s="538"/>
      <c r="W10" s="812"/>
      <c r="X10" s="812"/>
      <c r="Y10" s="812"/>
      <c r="Z10" s="539"/>
      <c r="AA10" s="538"/>
    </row>
    <row r="11" spans="1:27" s="540" customFormat="1" ht="17.399999999999999" customHeight="1" x14ac:dyDescent="0.3">
      <c r="A11" s="26"/>
      <c r="B11" s="26"/>
      <c r="C11" s="828" t="s">
        <v>384</v>
      </c>
      <c r="D11" s="828"/>
      <c r="E11" s="26"/>
      <c r="F11" s="826"/>
      <c r="G11" s="826"/>
      <c r="H11" s="826"/>
      <c r="I11" s="826"/>
      <c r="J11" s="26"/>
      <c r="K11" s="544" t="s">
        <v>387</v>
      </c>
      <c r="L11" s="825"/>
      <c r="M11" s="825"/>
      <c r="N11" s="825"/>
      <c r="O11" s="825"/>
      <c r="P11" s="15"/>
      <c r="Q11" s="825"/>
      <c r="R11" s="825"/>
      <c r="S11" s="825"/>
      <c r="T11" s="26"/>
      <c r="U11" s="538"/>
      <c r="V11" s="538"/>
      <c r="W11" s="812"/>
      <c r="X11" s="812"/>
      <c r="Y11" s="812"/>
      <c r="Z11" s="539"/>
      <c r="AA11" s="538"/>
    </row>
    <row r="12" spans="1:27" s="540" customFormat="1" ht="17.399999999999999" customHeight="1" x14ac:dyDescent="0.3">
      <c r="A12" s="26"/>
      <c r="B12" s="26"/>
      <c r="C12" s="541"/>
      <c r="D12" s="541"/>
      <c r="E12" s="26"/>
      <c r="F12" s="26"/>
      <c r="G12" s="26"/>
      <c r="H12" s="26"/>
      <c r="I12" s="26"/>
      <c r="J12" s="26"/>
      <c r="K12" s="544"/>
      <c r="L12" s="15"/>
      <c r="M12" s="15"/>
      <c r="N12" s="15"/>
      <c r="O12" s="15"/>
      <c r="P12" s="15"/>
      <c r="Q12" s="15"/>
      <c r="R12" s="523"/>
      <c r="S12" s="26"/>
      <c r="T12" s="26"/>
      <c r="U12" s="538"/>
      <c r="V12" s="538"/>
      <c r="W12" s="539"/>
      <c r="X12" s="539"/>
      <c r="Y12" s="539"/>
      <c r="Z12" s="539"/>
      <c r="AA12" s="538"/>
    </row>
    <row r="13" spans="1:27" s="540" customFormat="1" ht="17.399999999999999" customHeight="1" x14ac:dyDescent="0.3">
      <c r="A13" s="26"/>
      <c r="B13" s="26"/>
      <c r="C13" s="828" t="s">
        <v>385</v>
      </c>
      <c r="D13" s="828"/>
      <c r="E13" s="26"/>
      <c r="F13" s="826"/>
      <c r="G13" s="826"/>
      <c r="H13" s="826"/>
      <c r="I13" s="826"/>
      <c r="J13" s="26"/>
      <c r="K13" s="544" t="s">
        <v>387</v>
      </c>
      <c r="L13" s="825"/>
      <c r="M13" s="825"/>
      <c r="N13" s="825"/>
      <c r="O13" s="825"/>
      <c r="P13" s="26"/>
      <c r="Q13" s="825"/>
      <c r="R13" s="825"/>
      <c r="S13" s="825"/>
      <c r="T13" s="26"/>
      <c r="U13" s="538"/>
      <c r="V13" s="538"/>
      <c r="W13" s="538"/>
      <c r="X13" s="538"/>
      <c r="Y13" s="538"/>
      <c r="Z13" s="538"/>
      <c r="AA13" s="538"/>
    </row>
    <row r="14" spans="1:27" s="540" customFormat="1" ht="17.399999999999999" customHeight="1" x14ac:dyDescent="0.3">
      <c r="A14" s="26"/>
      <c r="B14" s="26"/>
      <c r="C14" s="542"/>
      <c r="D14" s="541"/>
      <c r="E14" s="26"/>
      <c r="F14" s="26"/>
      <c r="G14" s="26"/>
      <c r="H14" s="26"/>
      <c r="I14" s="26"/>
      <c r="J14" s="26"/>
      <c r="K14" s="544"/>
      <c r="L14" s="543"/>
      <c r="M14" s="26"/>
      <c r="N14" s="26"/>
      <c r="O14" s="26"/>
      <c r="P14" s="26"/>
      <c r="Q14" s="26"/>
      <c r="R14" s="26"/>
      <c r="S14" s="26"/>
      <c r="T14" s="26"/>
      <c r="U14" s="538"/>
      <c r="V14" s="538"/>
      <c r="W14" s="538"/>
      <c r="X14" s="538"/>
      <c r="Y14" s="538"/>
      <c r="Z14" s="538"/>
      <c r="AA14" s="538"/>
    </row>
    <row r="15" spans="1:27" s="540" customFormat="1" ht="17.399999999999999" customHeight="1" x14ac:dyDescent="0.3">
      <c r="A15" s="26"/>
      <c r="B15" s="26"/>
      <c r="C15" s="828" t="s">
        <v>386</v>
      </c>
      <c r="D15" s="828"/>
      <c r="E15" s="26"/>
      <c r="F15" s="826"/>
      <c r="G15" s="826"/>
      <c r="H15" s="826"/>
      <c r="I15" s="826"/>
      <c r="J15" s="26"/>
      <c r="K15" s="544" t="s">
        <v>387</v>
      </c>
      <c r="L15" s="825"/>
      <c r="M15" s="825"/>
      <c r="N15" s="825"/>
      <c r="O15" s="825"/>
      <c r="P15" s="26"/>
      <c r="Q15" s="825"/>
      <c r="R15" s="825"/>
      <c r="S15" s="825"/>
      <c r="T15" s="26"/>
      <c r="U15" s="538"/>
      <c r="V15" s="538"/>
      <c r="W15" s="538"/>
      <c r="X15" s="538"/>
      <c r="Y15" s="538"/>
      <c r="Z15" s="538"/>
      <c r="AA15" s="538"/>
    </row>
    <row r="16" spans="1:27" ht="13.8" customHeight="1" x14ac:dyDescent="0.3">
      <c r="A16" s="521"/>
      <c r="B16" s="521"/>
      <c r="C16" s="521"/>
      <c r="D16" s="521"/>
      <c r="E16" s="521"/>
      <c r="F16" s="814"/>
      <c r="G16" s="814"/>
      <c r="H16" s="814"/>
      <c r="I16" s="521"/>
      <c r="J16" s="521"/>
      <c r="K16" s="521"/>
      <c r="L16" s="521"/>
      <c r="M16" s="521"/>
      <c r="N16" s="521"/>
      <c r="O16" s="815"/>
      <c r="P16" s="816"/>
      <c r="Q16" s="816"/>
      <c r="R16" s="522"/>
      <c r="S16" s="521"/>
      <c r="T16" s="521"/>
    </row>
    <row r="17" spans="1:24" ht="13.8" customHeight="1" x14ac:dyDescent="0.3">
      <c r="A17" s="521"/>
      <c r="B17" s="521"/>
      <c r="C17" s="521"/>
      <c r="D17" s="521"/>
      <c r="E17" s="521"/>
      <c r="F17" s="814"/>
      <c r="G17" s="814"/>
      <c r="H17" s="814"/>
      <c r="I17" s="521"/>
      <c r="J17" s="19"/>
      <c r="K17" s="19"/>
      <c r="L17" s="521"/>
      <c r="M17" s="521"/>
      <c r="N17" s="521"/>
      <c r="O17" s="816"/>
      <c r="P17" s="816"/>
      <c r="Q17" s="816"/>
      <c r="R17" s="522"/>
      <c r="S17" s="521"/>
      <c r="T17" s="521"/>
    </row>
    <row r="18" spans="1:24" ht="13.8" customHeight="1" x14ac:dyDescent="0.3">
      <c r="A18" s="521"/>
      <c r="B18" s="521"/>
      <c r="C18" s="521"/>
      <c r="D18" s="521"/>
      <c r="E18" s="521"/>
      <c r="F18" s="814"/>
      <c r="G18" s="814"/>
      <c r="H18" s="814"/>
      <c r="I18" s="521"/>
      <c r="J18" s="19"/>
      <c r="K18" s="19"/>
      <c r="L18" s="521"/>
      <c r="M18" s="521"/>
      <c r="N18" s="521"/>
      <c r="O18" s="816"/>
      <c r="P18" s="816"/>
      <c r="Q18" s="816"/>
      <c r="R18" s="522"/>
      <c r="S18" s="521"/>
      <c r="T18" s="521"/>
    </row>
    <row r="19" spans="1:24" ht="13.8" customHeight="1" x14ac:dyDescent="0.3">
      <c r="A19" s="521"/>
      <c r="B19" s="521"/>
      <c r="C19" s="521"/>
      <c r="D19" s="521"/>
      <c r="E19" s="521"/>
      <c r="F19" s="814"/>
      <c r="G19" s="814"/>
      <c r="H19" s="814"/>
      <c r="I19" s="521"/>
      <c r="J19" s="19"/>
      <c r="K19" s="19"/>
      <c r="L19" s="521"/>
      <c r="M19" s="521"/>
      <c r="N19" s="521"/>
      <c r="O19" s="816"/>
      <c r="P19" s="816"/>
      <c r="Q19" s="816"/>
      <c r="R19" s="522"/>
      <c r="S19" s="521"/>
      <c r="T19" s="521"/>
    </row>
    <row r="20" spans="1:24" ht="13.8" customHeight="1" x14ac:dyDescent="0.3">
      <c r="A20" s="521"/>
      <c r="B20" s="521"/>
      <c r="C20" s="521"/>
      <c r="D20" s="521"/>
      <c r="E20" s="521"/>
      <c r="F20" s="814"/>
      <c r="G20" s="814"/>
      <c r="H20" s="814"/>
      <c r="I20" s="521"/>
      <c r="J20" s="19"/>
      <c r="K20" s="19"/>
      <c r="L20" s="521"/>
      <c r="M20" s="521"/>
      <c r="N20" s="521"/>
      <c r="O20" s="816"/>
      <c r="P20" s="816"/>
      <c r="Q20" s="816"/>
      <c r="R20" s="522"/>
      <c r="S20" s="521"/>
      <c r="T20" s="521"/>
      <c r="X20" s="2" t="s">
        <v>250</v>
      </c>
    </row>
    <row r="21" spans="1:24" ht="13.8" customHeight="1" x14ac:dyDescent="0.3">
      <c r="A21" s="521"/>
      <c r="B21" s="521"/>
      <c r="C21" s="521"/>
      <c r="D21" s="521"/>
      <c r="E21" s="521"/>
      <c r="F21" s="521"/>
      <c r="G21" s="521"/>
      <c r="H21" s="521"/>
      <c r="I21" s="521"/>
      <c r="J21" s="521"/>
      <c r="K21" s="521"/>
      <c r="L21" s="521"/>
      <c r="M21" s="521"/>
      <c r="N21" s="521"/>
      <c r="O21" s="521"/>
      <c r="P21" s="521"/>
      <c r="Q21" s="521"/>
      <c r="R21" s="521"/>
      <c r="S21" s="521"/>
      <c r="T21" s="521"/>
      <c r="X21" s="2" t="s">
        <v>249</v>
      </c>
    </row>
    <row r="22" spans="1:24" ht="13.8" customHeight="1" x14ac:dyDescent="0.3">
      <c r="A22" s="521"/>
      <c r="B22" s="521"/>
      <c r="C22" s="521"/>
      <c r="D22" s="521"/>
      <c r="E22" s="521"/>
      <c r="F22" s="521"/>
      <c r="G22" s="521"/>
      <c r="H22" s="521"/>
      <c r="I22" s="521"/>
      <c r="J22" s="521"/>
      <c r="K22" s="521"/>
      <c r="L22" s="521"/>
      <c r="M22" s="521"/>
      <c r="N22" s="521"/>
      <c r="O22" s="521"/>
      <c r="P22" s="521"/>
      <c r="Q22" s="521"/>
      <c r="R22" s="521"/>
      <c r="S22" s="521"/>
      <c r="T22" s="521"/>
    </row>
    <row r="23" spans="1:24" ht="13.8" customHeight="1" x14ac:dyDescent="0.3">
      <c r="A23" s="521"/>
      <c r="B23" s="521"/>
      <c r="C23" s="521"/>
      <c r="D23" s="521"/>
      <c r="E23" s="521"/>
      <c r="F23" s="521"/>
      <c r="G23" s="521"/>
      <c r="H23" s="521"/>
      <c r="I23" s="521"/>
      <c r="J23" s="521"/>
      <c r="K23" s="521"/>
      <c r="L23" s="521"/>
      <c r="M23" s="521"/>
      <c r="N23" s="521"/>
      <c r="O23" s="521"/>
      <c r="P23" s="521"/>
      <c r="Q23" s="521"/>
      <c r="R23" s="521"/>
      <c r="S23" s="521"/>
      <c r="T23" s="521"/>
    </row>
    <row r="24" spans="1:24" x14ac:dyDescent="0.3">
      <c r="A24" s="521"/>
      <c r="B24" s="521"/>
      <c r="C24" s="521"/>
      <c r="D24" s="521"/>
      <c r="E24" s="521"/>
      <c r="F24" s="521"/>
      <c r="G24" s="521"/>
      <c r="H24" s="521"/>
      <c r="I24" s="521"/>
      <c r="J24" s="521"/>
      <c r="K24" s="521"/>
      <c r="L24" s="521"/>
      <c r="M24" s="521"/>
      <c r="N24" s="521"/>
      <c r="O24" s="521"/>
      <c r="P24" s="521"/>
      <c r="Q24" s="521"/>
      <c r="R24" s="521"/>
      <c r="S24" s="521"/>
      <c r="T24" s="521"/>
    </row>
    <row r="25" spans="1:24" x14ac:dyDescent="0.3">
      <c r="A25" s="1"/>
      <c r="B25" s="521"/>
      <c r="C25" s="521"/>
      <c r="D25" s="521"/>
      <c r="E25" s="521"/>
      <c r="F25" s="521"/>
      <c r="G25" s="521"/>
      <c r="H25" s="521"/>
      <c r="I25" s="521"/>
      <c r="J25" s="521"/>
      <c r="K25" s="521"/>
      <c r="L25" s="521"/>
      <c r="M25" s="521"/>
      <c r="N25" s="521"/>
      <c r="O25" s="521"/>
      <c r="P25" s="521"/>
      <c r="Q25" s="521"/>
      <c r="R25" s="521"/>
      <c r="S25" s="1"/>
      <c r="T25" s="1"/>
    </row>
    <row r="26" spans="1:24" ht="28.2" customHeight="1" x14ac:dyDescent="0.3">
      <c r="A26" s="2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2"/>
      <c r="T26" s="2"/>
    </row>
    <row r="27" spans="1:24" x14ac:dyDescent="0.3">
      <c r="A27" s="1"/>
      <c r="B27" s="521"/>
      <c r="C27" s="521"/>
      <c r="D27" s="521"/>
      <c r="E27" s="521"/>
      <c r="F27" s="521"/>
      <c r="G27" s="521"/>
      <c r="H27" s="521"/>
      <c r="I27" s="521"/>
      <c r="J27" s="521"/>
      <c r="K27" s="521"/>
      <c r="L27" s="521"/>
      <c r="M27" s="521"/>
      <c r="N27" s="521"/>
      <c r="O27" s="521"/>
      <c r="P27" s="521"/>
      <c r="Q27" s="521"/>
      <c r="R27" s="521"/>
      <c r="S27" s="1"/>
      <c r="T27" s="1"/>
    </row>
    <row r="28" spans="1:24" ht="18" x14ac:dyDescent="0.35">
      <c r="A28" s="1"/>
      <c r="B28" s="818" t="s">
        <v>99</v>
      </c>
      <c r="C28" s="818"/>
      <c r="D28" s="819" t="s">
        <v>235</v>
      </c>
      <c r="E28" s="819"/>
      <c r="F28" s="819"/>
      <c r="G28" s="819"/>
      <c r="H28" s="115"/>
      <c r="I28" s="115"/>
      <c r="J28" s="818" t="s">
        <v>0</v>
      </c>
      <c r="K28" s="818"/>
      <c r="L28" s="821">
        <v>43223</v>
      </c>
      <c r="M28" s="821"/>
      <c r="N28" s="3"/>
      <c r="O28" s="818"/>
      <c r="P28" s="818"/>
      <c r="Q28" s="521"/>
      <c r="R28" s="521"/>
      <c r="S28" s="3"/>
      <c r="T28" s="1"/>
    </row>
    <row r="29" spans="1:24" x14ac:dyDescent="0.3">
      <c r="A29" s="1"/>
      <c r="B29" s="1"/>
      <c r="C29" s="521"/>
      <c r="D29" s="521"/>
      <c r="E29" s="521"/>
      <c r="F29" s="521"/>
      <c r="G29" s="521"/>
      <c r="H29" s="521"/>
      <c r="I29" s="521"/>
      <c r="J29" s="15"/>
      <c r="K29" s="521"/>
      <c r="L29" s="1"/>
      <c r="M29" s="1"/>
      <c r="N29" s="1"/>
      <c r="O29" s="1"/>
      <c r="P29" s="1"/>
      <c r="Q29" s="1"/>
      <c r="R29" s="1"/>
      <c r="S29" s="1"/>
      <c r="T29" s="1"/>
    </row>
    <row r="30" spans="1:24" ht="18" x14ac:dyDescent="0.35">
      <c r="A30" s="1"/>
      <c r="B30" s="818" t="s">
        <v>234</v>
      </c>
      <c r="C30" s="818"/>
      <c r="D30" s="819" t="s">
        <v>35</v>
      </c>
      <c r="E30" s="819"/>
      <c r="F30" s="819"/>
      <c r="G30" s="819"/>
      <c r="H30" s="1"/>
      <c r="I30" s="1"/>
      <c r="J30" s="818" t="s">
        <v>1</v>
      </c>
      <c r="K30" s="818"/>
      <c r="L30" s="820">
        <v>0.05</v>
      </c>
      <c r="M30" s="820"/>
      <c r="N30" s="3" t="s">
        <v>189</v>
      </c>
      <c r="O30" s="1"/>
      <c r="P30" s="1"/>
      <c r="Q30" s="1"/>
      <c r="R30" s="1"/>
      <c r="S30" s="1"/>
      <c r="T30" s="1"/>
    </row>
    <row r="31" spans="1:24" x14ac:dyDescent="0.3">
      <c r="A31" s="1"/>
      <c r="B31" s="13"/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"/>
    </row>
    <row r="32" spans="1:24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 spans="1:20" x14ac:dyDescent="0.3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 spans="1:20" x14ac:dyDescent="0.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spans="1:20" x14ac:dyDescent="0.3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</sheetData>
  <mergeCells count="40">
    <mergeCell ref="C15:D15"/>
    <mergeCell ref="F15:I15"/>
    <mergeCell ref="L9:O9"/>
    <mergeCell ref="L11:O11"/>
    <mergeCell ref="L13:O13"/>
    <mergeCell ref="L15:O15"/>
    <mergeCell ref="C13:D13"/>
    <mergeCell ref="F11:I11"/>
    <mergeCell ref="F13:I13"/>
    <mergeCell ref="B30:C30"/>
    <mergeCell ref="D30:G30"/>
    <mergeCell ref="J30:K30"/>
    <mergeCell ref="L30:M30"/>
    <mergeCell ref="Q4:R4"/>
    <mergeCell ref="F4:M4"/>
    <mergeCell ref="B28:C28"/>
    <mergeCell ref="D28:G28"/>
    <mergeCell ref="J28:K28"/>
    <mergeCell ref="L28:M28"/>
    <mergeCell ref="O28:P28"/>
    <mergeCell ref="Q9:S9"/>
    <mergeCell ref="C4:D4"/>
    <mergeCell ref="C6:D6"/>
    <mergeCell ref="C9:D9"/>
    <mergeCell ref="C11:D11"/>
    <mergeCell ref="W7:Y11"/>
    <mergeCell ref="F16:H20"/>
    <mergeCell ref="O16:Q20"/>
    <mergeCell ref="F6:G6"/>
    <mergeCell ref="K6:L6"/>
    <mergeCell ref="F9:I9"/>
    <mergeCell ref="Q11:S11"/>
    <mergeCell ref="Q13:S13"/>
    <mergeCell ref="Q15:S15"/>
    <mergeCell ref="Q2:R2"/>
    <mergeCell ref="B2:C2"/>
    <mergeCell ref="D2:G2"/>
    <mergeCell ref="H2:J2"/>
    <mergeCell ref="K2:M2"/>
    <mergeCell ref="O2:P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4BDF8-0633-4B34-B7E6-D025A805E583}">
  <dimension ref="A1:Z39"/>
  <sheetViews>
    <sheetView topLeftCell="B3" zoomScale="110" zoomScaleNormal="110" workbookViewId="0">
      <selection activeCell="C28" sqref="C28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82"/>
      <c r="B1" s="382"/>
      <c r="C1" s="382"/>
      <c r="D1" s="382"/>
      <c r="E1" s="382"/>
      <c r="F1" s="382"/>
      <c r="G1" s="382"/>
      <c r="H1" s="382"/>
      <c r="I1" s="382"/>
      <c r="J1" s="382"/>
      <c r="K1" s="382"/>
      <c r="L1" s="382"/>
      <c r="M1" s="382"/>
      <c r="N1" s="382"/>
      <c r="O1" s="382"/>
      <c r="P1" s="382"/>
      <c r="Q1" s="382"/>
      <c r="R1" s="382"/>
    </row>
    <row r="2" spans="1:26" ht="18" customHeight="1" x14ac:dyDescent="0.35">
      <c r="A2" s="382"/>
      <c r="B2" s="385"/>
      <c r="C2" s="385"/>
      <c r="D2" s="385"/>
      <c r="E2" s="382"/>
      <c r="F2" s="382"/>
      <c r="G2" s="382"/>
      <c r="H2" s="382"/>
      <c r="I2" s="382"/>
      <c r="J2" s="382"/>
      <c r="K2" s="382"/>
      <c r="L2" s="382"/>
      <c r="M2" s="382"/>
      <c r="N2" s="382"/>
      <c r="O2" s="15"/>
      <c r="P2" s="15"/>
      <c r="Q2" s="109"/>
      <c r="R2" s="109"/>
    </row>
    <row r="3" spans="1:26" ht="13.8" customHeight="1" thickBot="1" x14ac:dyDescent="0.35">
      <c r="A3" s="382"/>
      <c r="B3" s="382"/>
      <c r="C3" s="107"/>
      <c r="D3" s="382"/>
      <c r="E3" s="382"/>
      <c r="F3" s="382"/>
      <c r="G3" s="382"/>
      <c r="H3" s="382"/>
      <c r="I3" s="382"/>
      <c r="J3" s="382"/>
      <c r="K3" s="382"/>
      <c r="L3" s="107"/>
      <c r="M3" s="382"/>
      <c r="N3" s="382"/>
      <c r="O3" s="382"/>
      <c r="P3" s="382"/>
      <c r="Q3" s="382"/>
      <c r="R3" s="382"/>
    </row>
    <row r="4" spans="1:26" ht="13.8" customHeight="1" x14ac:dyDescent="0.3">
      <c r="A4" s="382"/>
      <c r="B4" s="382"/>
      <c r="C4" s="829" t="s">
        <v>279</v>
      </c>
      <c r="D4" s="830"/>
      <c r="E4" s="830"/>
      <c r="F4" s="831"/>
      <c r="G4" s="15"/>
      <c r="H4" s="382"/>
      <c r="I4" s="15"/>
      <c r="J4" s="829" t="s">
        <v>280</v>
      </c>
      <c r="K4" s="830"/>
      <c r="L4" s="830"/>
      <c r="M4" s="831"/>
      <c r="N4" s="382"/>
      <c r="O4" s="15"/>
      <c r="P4" s="15"/>
      <c r="Q4" s="382"/>
      <c r="R4" s="382"/>
      <c r="Z4" s="16"/>
    </row>
    <row r="5" spans="1:26" ht="13.8" customHeight="1" x14ac:dyDescent="0.3">
      <c r="A5" s="382"/>
      <c r="B5" s="382"/>
      <c r="C5" s="832"/>
      <c r="D5" s="833"/>
      <c r="E5" s="833"/>
      <c r="F5" s="834"/>
      <c r="G5" s="15"/>
      <c r="H5" s="15"/>
      <c r="I5" s="15"/>
      <c r="J5" s="832"/>
      <c r="K5" s="833"/>
      <c r="L5" s="833"/>
      <c r="M5" s="834"/>
      <c r="N5" s="382"/>
      <c r="O5" s="15"/>
      <c r="P5" s="15"/>
      <c r="Q5" s="382"/>
      <c r="R5" s="382"/>
      <c r="Z5" s="16"/>
    </row>
    <row r="6" spans="1:26" ht="13.8" customHeight="1" x14ac:dyDescent="0.3">
      <c r="A6" s="382"/>
      <c r="B6" s="382"/>
      <c r="C6" s="832"/>
      <c r="D6" s="833"/>
      <c r="E6" s="833"/>
      <c r="F6" s="834"/>
      <c r="G6" s="15"/>
      <c r="H6" s="15"/>
      <c r="I6" s="15"/>
      <c r="J6" s="832"/>
      <c r="K6" s="833"/>
      <c r="L6" s="833"/>
      <c r="M6" s="834"/>
      <c r="N6" s="382"/>
      <c r="O6" s="15"/>
      <c r="P6" s="15"/>
      <c r="Q6" s="382"/>
      <c r="R6" s="382"/>
      <c r="V6" s="83"/>
      <c r="W6" s="83"/>
      <c r="Z6" s="16"/>
    </row>
    <row r="7" spans="1:26" ht="13.8" customHeight="1" x14ac:dyDescent="0.3">
      <c r="A7" s="382"/>
      <c r="B7" s="382"/>
      <c r="C7" s="832"/>
      <c r="D7" s="833"/>
      <c r="E7" s="833"/>
      <c r="F7" s="834"/>
      <c r="G7" s="15"/>
      <c r="H7" s="15"/>
      <c r="I7" s="15"/>
      <c r="J7" s="832"/>
      <c r="K7" s="833"/>
      <c r="L7" s="833"/>
      <c r="M7" s="834"/>
      <c r="N7" s="382"/>
      <c r="O7" s="15"/>
      <c r="P7" s="15"/>
      <c r="Q7" s="382"/>
      <c r="R7" s="382"/>
      <c r="V7" s="83"/>
      <c r="W7" s="83"/>
      <c r="Z7" s="16"/>
    </row>
    <row r="8" spans="1:26" ht="13.8" customHeight="1" x14ac:dyDescent="0.3">
      <c r="A8" s="382"/>
      <c r="B8" s="362"/>
      <c r="C8" s="832"/>
      <c r="D8" s="833"/>
      <c r="E8" s="833"/>
      <c r="F8" s="834"/>
      <c r="G8" s="386"/>
      <c r="H8" s="365"/>
      <c r="I8" s="386"/>
      <c r="J8" s="832"/>
      <c r="K8" s="833"/>
      <c r="L8" s="833"/>
      <c r="M8" s="834"/>
      <c r="N8" s="362"/>
      <c r="O8" s="386"/>
      <c r="P8" s="386"/>
      <c r="Q8" s="382"/>
      <c r="R8" s="382"/>
      <c r="V8" s="83"/>
      <c r="W8" s="83"/>
      <c r="Z8" s="16"/>
    </row>
    <row r="9" spans="1:26" ht="13.8" customHeight="1" x14ac:dyDescent="0.3">
      <c r="A9" s="382"/>
      <c r="B9" s="382"/>
      <c r="C9" s="832"/>
      <c r="D9" s="833"/>
      <c r="E9" s="833"/>
      <c r="F9" s="834"/>
      <c r="G9" s="15"/>
      <c r="H9" s="15"/>
      <c r="I9" s="382"/>
      <c r="J9" s="832"/>
      <c r="K9" s="833"/>
      <c r="L9" s="833"/>
      <c r="M9" s="834"/>
      <c r="N9" s="382"/>
      <c r="O9" s="387"/>
      <c r="P9" s="383"/>
      <c r="Q9" s="382"/>
      <c r="R9" s="382"/>
      <c r="V9" s="83"/>
      <c r="W9" s="83"/>
      <c r="Z9" s="16"/>
    </row>
    <row r="10" spans="1:26" ht="23.4" customHeight="1" thickBot="1" x14ac:dyDescent="0.35">
      <c r="A10" s="382"/>
      <c r="B10" s="382"/>
      <c r="C10" s="835"/>
      <c r="D10" s="836"/>
      <c r="E10" s="836"/>
      <c r="F10" s="837"/>
      <c r="G10" s="382"/>
      <c r="H10" s="382"/>
      <c r="I10" s="382"/>
      <c r="J10" s="835"/>
      <c r="K10" s="836"/>
      <c r="L10" s="836"/>
      <c r="M10" s="837"/>
      <c r="N10" s="382"/>
      <c r="O10" s="382"/>
      <c r="P10" s="382"/>
      <c r="Q10" s="382"/>
      <c r="R10" s="382"/>
      <c r="V10" s="388"/>
      <c r="W10" s="388"/>
      <c r="Z10" s="16"/>
    </row>
    <row r="11" spans="1:26" ht="13.8" customHeight="1" x14ac:dyDescent="0.3">
      <c r="A11" s="382"/>
      <c r="B11" s="382"/>
      <c r="C11" s="107"/>
      <c r="D11" s="382"/>
      <c r="E11" s="382"/>
      <c r="F11" s="382"/>
      <c r="G11" s="382"/>
      <c r="H11" s="382"/>
      <c r="I11" s="382"/>
      <c r="J11" s="382"/>
      <c r="K11" s="382"/>
      <c r="L11" s="107"/>
      <c r="M11" s="382"/>
      <c r="N11" s="382"/>
      <c r="O11" s="382"/>
      <c r="P11" s="382"/>
      <c r="Q11" s="382"/>
      <c r="R11" s="382"/>
      <c r="V11" s="388"/>
      <c r="W11" s="388"/>
      <c r="Z11" s="16"/>
    </row>
    <row r="12" spans="1:26" ht="13.8" customHeight="1" x14ac:dyDescent="0.3">
      <c r="A12" s="382"/>
      <c r="B12" s="382"/>
      <c r="C12" s="15"/>
      <c r="D12" s="15"/>
      <c r="E12" s="382"/>
      <c r="F12" s="15"/>
      <c r="G12" s="15"/>
      <c r="H12" s="382"/>
      <c r="I12" s="15"/>
      <c r="J12" s="15"/>
      <c r="K12" s="382"/>
      <c r="L12" s="15"/>
      <c r="M12" s="15"/>
      <c r="N12" s="382"/>
      <c r="O12" s="15"/>
      <c r="P12" s="15"/>
      <c r="Q12" s="382"/>
      <c r="R12" s="382"/>
      <c r="Z12" s="16"/>
    </row>
    <row r="13" spans="1:26" ht="13.8" customHeight="1" thickBot="1" x14ac:dyDescent="0.35">
      <c r="A13" s="382"/>
      <c r="B13" s="382"/>
      <c r="C13" s="15"/>
      <c r="D13" s="15"/>
      <c r="E13" s="382"/>
      <c r="F13" s="15"/>
      <c r="G13" s="15"/>
      <c r="H13" s="15"/>
      <c r="I13" s="15"/>
      <c r="J13" s="15"/>
      <c r="K13" s="382"/>
      <c r="L13" s="15"/>
      <c r="M13" s="15"/>
      <c r="N13" s="382"/>
      <c r="O13" s="15"/>
      <c r="P13" s="15"/>
      <c r="Q13" s="382"/>
      <c r="R13" s="382"/>
      <c r="Z13" s="16"/>
    </row>
    <row r="14" spans="1:26" ht="13.8" customHeight="1" x14ac:dyDescent="0.3">
      <c r="A14" s="382"/>
      <c r="B14" s="382"/>
      <c r="C14" s="829" t="s">
        <v>281</v>
      </c>
      <c r="D14" s="830"/>
      <c r="E14" s="830"/>
      <c r="F14" s="831"/>
      <c r="G14" s="15"/>
      <c r="H14" s="15"/>
      <c r="I14" s="15"/>
      <c r="J14" s="829" t="s">
        <v>282</v>
      </c>
      <c r="K14" s="830"/>
      <c r="L14" s="830"/>
      <c r="M14" s="831"/>
      <c r="N14" s="382"/>
      <c r="O14" s="15"/>
      <c r="P14" s="15"/>
      <c r="Q14" s="382"/>
      <c r="R14" s="382"/>
      <c r="Z14" s="16"/>
    </row>
    <row r="15" spans="1:26" ht="13.8" customHeight="1" x14ac:dyDescent="0.3">
      <c r="A15" s="382"/>
      <c r="B15" s="382"/>
      <c r="C15" s="832"/>
      <c r="D15" s="833"/>
      <c r="E15" s="833"/>
      <c r="F15" s="834"/>
      <c r="G15" s="15"/>
      <c r="H15" s="15"/>
      <c r="I15" s="15"/>
      <c r="J15" s="832"/>
      <c r="K15" s="833"/>
      <c r="L15" s="833"/>
      <c r="M15" s="834"/>
      <c r="N15" s="382"/>
      <c r="O15" s="15"/>
      <c r="P15" s="15"/>
      <c r="Q15" s="382"/>
      <c r="R15" s="382"/>
      <c r="Z15" s="16"/>
    </row>
    <row r="16" spans="1:26" ht="13.8" customHeight="1" x14ac:dyDescent="0.3">
      <c r="A16" s="382"/>
      <c r="B16" s="362"/>
      <c r="C16" s="832"/>
      <c r="D16" s="833"/>
      <c r="E16" s="833"/>
      <c r="F16" s="834"/>
      <c r="G16" s="386"/>
      <c r="H16" s="365"/>
      <c r="I16" s="386"/>
      <c r="J16" s="832"/>
      <c r="K16" s="833"/>
      <c r="L16" s="833"/>
      <c r="M16" s="834"/>
      <c r="N16" s="362"/>
      <c r="O16" s="353"/>
      <c r="P16" s="353"/>
      <c r="Q16" s="382"/>
      <c r="R16" s="382"/>
      <c r="Z16" s="16"/>
    </row>
    <row r="17" spans="1:26" ht="13.8" customHeight="1" x14ac:dyDescent="0.3">
      <c r="A17" s="382"/>
      <c r="B17" s="362"/>
      <c r="C17" s="832"/>
      <c r="D17" s="833"/>
      <c r="E17" s="833"/>
      <c r="F17" s="834"/>
      <c r="G17" s="386"/>
      <c r="H17" s="365"/>
      <c r="I17" s="386"/>
      <c r="J17" s="832"/>
      <c r="K17" s="833"/>
      <c r="L17" s="833"/>
      <c r="M17" s="834"/>
      <c r="N17" s="362"/>
      <c r="O17" s="353"/>
      <c r="P17" s="353"/>
      <c r="Q17" s="382"/>
      <c r="R17" s="382"/>
      <c r="Z17" s="16"/>
    </row>
    <row r="18" spans="1:26" ht="25.8" customHeight="1" x14ac:dyDescent="0.3">
      <c r="A18" s="382"/>
      <c r="B18" s="382"/>
      <c r="C18" s="832"/>
      <c r="D18" s="833"/>
      <c r="E18" s="833"/>
      <c r="F18" s="834"/>
      <c r="G18" s="382"/>
      <c r="H18" s="382"/>
      <c r="I18" s="382"/>
      <c r="J18" s="832"/>
      <c r="K18" s="833"/>
      <c r="L18" s="833"/>
      <c r="M18" s="834"/>
      <c r="N18" s="382"/>
      <c r="O18" s="382"/>
      <c r="P18" s="382"/>
      <c r="Q18" s="382"/>
      <c r="R18" s="382"/>
      <c r="Z18" s="16"/>
    </row>
    <row r="19" spans="1:26" ht="14.4" customHeight="1" x14ac:dyDescent="0.3">
      <c r="A19" s="382"/>
      <c r="B19" s="382"/>
      <c r="C19" s="832"/>
      <c r="D19" s="833"/>
      <c r="E19" s="833"/>
      <c r="F19" s="834"/>
      <c r="G19" s="382"/>
      <c r="H19" s="382"/>
      <c r="I19" s="382"/>
      <c r="J19" s="832"/>
      <c r="K19" s="833"/>
      <c r="L19" s="833"/>
      <c r="M19" s="834"/>
      <c r="N19" s="382"/>
      <c r="O19" s="382"/>
      <c r="P19" s="382"/>
      <c r="Q19" s="382"/>
      <c r="R19" s="382"/>
      <c r="Z19" s="16"/>
    </row>
    <row r="20" spans="1:26" ht="14.4" customHeight="1" thickBot="1" x14ac:dyDescent="0.35">
      <c r="A20" s="382"/>
      <c r="B20" s="382"/>
      <c r="C20" s="835"/>
      <c r="D20" s="836"/>
      <c r="E20" s="836"/>
      <c r="F20" s="837"/>
      <c r="G20" s="15"/>
      <c r="H20" s="382"/>
      <c r="I20" s="15"/>
      <c r="J20" s="835"/>
      <c r="K20" s="836"/>
      <c r="L20" s="836"/>
      <c r="M20" s="837"/>
      <c r="N20" s="382"/>
      <c r="O20" s="382"/>
      <c r="P20" s="382"/>
      <c r="Q20" s="382"/>
      <c r="R20" s="382"/>
      <c r="Z20" s="16"/>
    </row>
    <row r="21" spans="1:26" ht="14.4" customHeight="1" x14ac:dyDescent="0.3">
      <c r="A21" s="382"/>
      <c r="B21" s="382"/>
      <c r="C21" s="15"/>
      <c r="D21" s="15"/>
      <c r="E21" s="382"/>
      <c r="F21" s="15"/>
      <c r="G21" s="15"/>
      <c r="H21" s="453"/>
      <c r="I21" s="15"/>
      <c r="J21" s="15"/>
      <c r="K21" s="382"/>
      <c r="L21" s="15"/>
      <c r="M21" s="15"/>
      <c r="N21" s="382"/>
      <c r="O21" s="382"/>
      <c r="P21" s="382"/>
      <c r="Q21" s="382"/>
      <c r="R21" s="382"/>
      <c r="Z21" s="16"/>
    </row>
    <row r="22" spans="1:26" ht="15" customHeight="1" x14ac:dyDescent="0.3">
      <c r="A22" s="382"/>
      <c r="B22" s="382"/>
      <c r="C22" s="15"/>
      <c r="D22" s="15"/>
      <c r="E22" s="382"/>
      <c r="F22" s="15"/>
      <c r="G22" s="15"/>
      <c r="H22" s="382"/>
      <c r="I22" s="15"/>
      <c r="J22" s="15"/>
      <c r="K22" s="382"/>
      <c r="L22" s="15"/>
      <c r="M22" s="15"/>
      <c r="N22" s="382"/>
      <c r="O22" s="382"/>
      <c r="P22" s="382"/>
      <c r="Q22" s="382"/>
      <c r="R22" s="382"/>
      <c r="Z22" s="16"/>
    </row>
    <row r="23" spans="1:26" x14ac:dyDescent="0.3">
      <c r="A23" s="382"/>
      <c r="B23" s="382"/>
      <c r="C23" s="15"/>
      <c r="D23" s="15"/>
      <c r="E23" s="382"/>
      <c r="F23" s="15"/>
      <c r="G23" s="15"/>
      <c r="H23" s="382"/>
      <c r="I23" s="15"/>
      <c r="J23" s="15"/>
      <c r="K23" s="382"/>
      <c r="L23" s="15"/>
      <c r="M23" s="15"/>
      <c r="N23" s="382"/>
      <c r="O23" s="382"/>
      <c r="P23" s="382"/>
      <c r="Q23" s="382"/>
      <c r="R23" s="382"/>
      <c r="Z23" s="16"/>
    </row>
    <row r="24" spans="1:26" ht="15" customHeight="1" x14ac:dyDescent="0.3">
      <c r="A24" s="382"/>
      <c r="B24" s="382"/>
      <c r="C24" s="386"/>
      <c r="D24" s="386"/>
      <c r="E24" s="362"/>
      <c r="F24" s="353"/>
      <c r="G24" s="353"/>
      <c r="H24" s="382"/>
      <c r="I24" s="353"/>
      <c r="J24" s="353"/>
      <c r="K24" s="382"/>
      <c r="L24" s="353"/>
      <c r="M24" s="353"/>
      <c r="N24" s="382"/>
      <c r="O24" s="382"/>
      <c r="P24" s="382"/>
      <c r="Q24" s="382"/>
      <c r="R24" s="382"/>
      <c r="Z24" s="16"/>
    </row>
    <row r="25" spans="1:26" ht="15" customHeight="1" x14ac:dyDescent="0.3">
      <c r="A25" s="382"/>
      <c r="B25" s="382"/>
      <c r="C25" s="386"/>
      <c r="D25" s="386"/>
      <c r="E25" s="362"/>
      <c r="F25" s="353"/>
      <c r="G25" s="353"/>
      <c r="H25" s="382"/>
      <c r="I25" s="353"/>
      <c r="J25" s="353"/>
      <c r="K25" s="382"/>
      <c r="L25" s="353"/>
      <c r="M25" s="353"/>
      <c r="N25" s="382"/>
      <c r="O25" s="382"/>
      <c r="P25" s="382"/>
      <c r="Q25" s="382"/>
      <c r="R25" s="382"/>
      <c r="Z25" s="16"/>
    </row>
    <row r="26" spans="1:26" x14ac:dyDescent="0.3">
      <c r="A26" s="382"/>
      <c r="B26" s="382"/>
      <c r="C26" s="382"/>
      <c r="D26" s="382"/>
      <c r="E26" s="382"/>
      <c r="F26" s="382"/>
      <c r="G26" s="382"/>
      <c r="H26" s="382"/>
      <c r="I26" s="382"/>
      <c r="J26" s="382"/>
      <c r="K26" s="382"/>
      <c r="L26" s="382"/>
      <c r="M26" s="382"/>
      <c r="N26" s="382"/>
      <c r="O26" s="382"/>
      <c r="P26" s="382"/>
      <c r="Q26" s="382"/>
      <c r="R26" s="382"/>
      <c r="Z26" s="16"/>
    </row>
    <row r="27" spans="1:26" x14ac:dyDescent="0.3">
      <c r="A27" s="382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382"/>
      <c r="N27" s="382"/>
      <c r="O27" s="382"/>
      <c r="P27" s="382"/>
      <c r="Q27" s="382"/>
      <c r="R27" s="382"/>
      <c r="Z27" s="16"/>
    </row>
    <row r="28" spans="1:26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4">
    <mergeCell ref="C4:F10"/>
    <mergeCell ref="J4:M10"/>
    <mergeCell ref="C14:F20"/>
    <mergeCell ref="J14:M20"/>
  </mergeCells>
  <hyperlinks>
    <hyperlink ref="C4:F10" location="Selection!A1" display="Selection!A1" xr:uid="{460108A4-E4D9-467F-BEEA-DFE90AD7C399}"/>
    <hyperlink ref="J4:M10" location="'Safety report'!A1" display="'Safety report'!A1" xr:uid="{32B39429-1D83-4587-BF7C-1BD13C220A21}"/>
    <hyperlink ref="J14:M20" location="'Custom report '!A1" display="'Custom report '!A1" xr:uid="{03781759-1445-405B-A22E-22A18EB19A92}"/>
    <hyperlink ref="C14:F20" location="'Maintenance report'!A1" display="'Maintenance report'!A1" xr:uid="{EC4FAD56-8D5E-4B1C-AB59-E5A58510565C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7638CD-64A7-409A-99CF-F118F1BF85F2}">
  <dimension ref="A1:Z39"/>
  <sheetViews>
    <sheetView workbookViewId="0">
      <selection activeCell="L21" sqref="L21"/>
    </sheetView>
  </sheetViews>
  <sheetFormatPr defaultRowHeight="14.4" x14ac:dyDescent="0.3"/>
  <cols>
    <col min="1" max="1" width="4" customWidth="1"/>
    <col min="2" max="17" width="7.77734375" customWidth="1"/>
    <col min="18" max="18" width="4.5546875" customWidth="1"/>
    <col min="19" max="25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6" ht="18" customHeight="1" thickBot="1" x14ac:dyDescent="0.4">
      <c r="A2" s="1"/>
      <c r="B2" s="862"/>
      <c r="C2" s="862"/>
      <c r="D2" s="862"/>
      <c r="E2" s="4"/>
      <c r="F2" s="4"/>
      <c r="G2" s="4"/>
      <c r="H2" s="4"/>
      <c r="I2" s="4"/>
      <c r="J2" s="4"/>
      <c r="K2" s="4"/>
      <c r="L2" s="4"/>
      <c r="M2" s="4"/>
      <c r="N2" s="4"/>
      <c r="O2" s="861"/>
      <c r="P2" s="861"/>
      <c r="Q2" s="3"/>
      <c r="R2" s="3"/>
    </row>
    <row r="3" spans="1:26" ht="13.8" customHeight="1" thickTop="1" thickBot="1" x14ac:dyDescent="0.35">
      <c r="A3" s="1"/>
      <c r="B3" s="5"/>
      <c r="C3" s="111"/>
      <c r="D3" s="6"/>
      <c r="E3" s="6"/>
      <c r="F3" s="6"/>
      <c r="G3" s="6"/>
      <c r="H3" s="6"/>
      <c r="I3" s="6"/>
      <c r="J3" s="6"/>
      <c r="K3" s="6"/>
      <c r="L3" s="111"/>
      <c r="M3" s="6"/>
      <c r="N3" s="6"/>
      <c r="O3" s="6"/>
      <c r="P3" s="6"/>
      <c r="Q3" s="7"/>
      <c r="R3" s="1"/>
    </row>
    <row r="4" spans="1:26" ht="13.8" customHeight="1" thickTop="1" x14ac:dyDescent="0.3">
      <c r="A4" s="1"/>
      <c r="B4" s="8"/>
      <c r="C4" s="838"/>
      <c r="D4" s="839"/>
      <c r="E4" s="4"/>
      <c r="F4" s="838"/>
      <c r="G4" s="839"/>
      <c r="H4" s="4"/>
      <c r="I4" s="838"/>
      <c r="J4" s="839"/>
      <c r="K4" s="4"/>
      <c r="L4" s="838"/>
      <c r="M4" s="839"/>
      <c r="N4" s="4"/>
      <c r="O4" s="838"/>
      <c r="P4" s="839"/>
      <c r="Q4" s="9"/>
      <c r="R4" s="1"/>
      <c r="Z4" s="2"/>
    </row>
    <row r="5" spans="1:26" ht="13.8" customHeight="1" thickBot="1" x14ac:dyDescent="0.35">
      <c r="A5" s="1"/>
      <c r="B5" s="8"/>
      <c r="C5" s="840"/>
      <c r="D5" s="841"/>
      <c r="E5" s="4"/>
      <c r="F5" s="840"/>
      <c r="G5" s="841"/>
      <c r="H5" s="15"/>
      <c r="I5" s="840"/>
      <c r="J5" s="841"/>
      <c r="K5" s="4"/>
      <c r="L5" s="840"/>
      <c r="M5" s="841"/>
      <c r="N5" s="4"/>
      <c r="O5" s="840"/>
      <c r="P5" s="841"/>
      <c r="Q5" s="9"/>
      <c r="R5" s="1"/>
      <c r="Z5" s="2"/>
    </row>
    <row r="6" spans="1:26" ht="13.8" customHeight="1" thickTop="1" x14ac:dyDescent="0.3">
      <c r="A6" s="1"/>
      <c r="B6" s="8"/>
      <c r="C6" s="840"/>
      <c r="D6" s="841"/>
      <c r="E6" s="4"/>
      <c r="F6" s="840"/>
      <c r="G6" s="841"/>
      <c r="H6" s="15"/>
      <c r="I6" s="840"/>
      <c r="J6" s="841"/>
      <c r="K6" s="4"/>
      <c r="L6" s="840"/>
      <c r="M6" s="841"/>
      <c r="N6" s="4"/>
      <c r="O6" s="840"/>
      <c r="P6" s="841"/>
      <c r="Q6" s="9"/>
      <c r="R6" s="1"/>
      <c r="V6" s="846"/>
      <c r="W6" s="847"/>
      <c r="Z6" s="2"/>
    </row>
    <row r="7" spans="1:26" ht="13.8" customHeight="1" thickBot="1" x14ac:dyDescent="0.35">
      <c r="A7" s="1"/>
      <c r="B7" s="8"/>
      <c r="C7" s="842"/>
      <c r="D7" s="843"/>
      <c r="E7" s="4"/>
      <c r="F7" s="842"/>
      <c r="G7" s="843"/>
      <c r="H7" s="15"/>
      <c r="I7" s="842"/>
      <c r="J7" s="843"/>
      <c r="K7" s="4"/>
      <c r="L7" s="842"/>
      <c r="M7" s="843"/>
      <c r="N7" s="4"/>
      <c r="O7" s="842"/>
      <c r="P7" s="843"/>
      <c r="Q7" s="9"/>
      <c r="R7" s="1"/>
      <c r="V7" s="848"/>
      <c r="W7" s="849"/>
      <c r="Z7" s="2"/>
    </row>
    <row r="8" spans="1:26" ht="13.8" customHeight="1" thickTop="1" x14ac:dyDescent="0.3">
      <c r="A8" s="1"/>
      <c r="B8" s="364"/>
      <c r="C8" s="857" t="s">
        <v>2</v>
      </c>
      <c r="D8" s="857"/>
      <c r="E8" s="362"/>
      <c r="F8" s="857" t="s">
        <v>190</v>
      </c>
      <c r="G8" s="857"/>
      <c r="H8" s="365"/>
      <c r="I8" s="857" t="s">
        <v>3</v>
      </c>
      <c r="J8" s="857"/>
      <c r="K8" s="362"/>
      <c r="L8" s="857" t="s">
        <v>4</v>
      </c>
      <c r="M8" s="857"/>
      <c r="N8" s="362"/>
      <c r="O8" s="863" t="s">
        <v>427</v>
      </c>
      <c r="P8" s="863"/>
      <c r="Q8" s="9"/>
      <c r="R8" s="1"/>
      <c r="V8" s="848"/>
      <c r="W8" s="849"/>
      <c r="Z8" s="2"/>
    </row>
    <row r="9" spans="1:26" ht="13.8" customHeight="1" thickBot="1" x14ac:dyDescent="0.35">
      <c r="A9" s="1"/>
      <c r="B9" s="10"/>
      <c r="C9" s="11"/>
      <c r="D9" s="11"/>
      <c r="E9" s="11"/>
      <c r="F9" s="61"/>
      <c r="G9" s="61"/>
      <c r="H9" s="61"/>
      <c r="I9" s="11"/>
      <c r="J9" s="11"/>
      <c r="K9" s="11"/>
      <c r="L9" s="11"/>
      <c r="M9" s="11"/>
      <c r="N9" s="11"/>
      <c r="O9" s="114"/>
      <c r="P9" s="113"/>
      <c r="Q9" s="12"/>
      <c r="R9" s="1"/>
      <c r="V9" s="850"/>
      <c r="W9" s="851"/>
      <c r="Z9" s="2"/>
    </row>
    <row r="10" spans="1:26" ht="23.4" customHeight="1" thickTop="1" thickBot="1" x14ac:dyDescent="0.35">
      <c r="A10" s="1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1"/>
      <c r="R10" s="1"/>
      <c r="V10" s="852"/>
      <c r="W10" s="852"/>
      <c r="Z10" s="2"/>
    </row>
    <row r="11" spans="1:26" ht="13.8" customHeight="1" thickTop="1" thickBot="1" x14ac:dyDescent="0.35">
      <c r="A11" s="1"/>
      <c r="B11" s="5"/>
      <c r="C11" s="111"/>
      <c r="D11" s="6"/>
      <c r="E11" s="6"/>
      <c r="F11" s="6"/>
      <c r="G11" s="6"/>
      <c r="H11" s="6"/>
      <c r="I11" s="6"/>
      <c r="J11" s="6"/>
      <c r="K11" s="6"/>
      <c r="L11" s="111"/>
      <c r="M11" s="6"/>
      <c r="N11" s="6"/>
      <c r="O11" s="6"/>
      <c r="P11" s="6"/>
      <c r="Q11" s="7"/>
      <c r="R11" s="1"/>
      <c r="V11" s="853"/>
      <c r="W11" s="853"/>
      <c r="Z11" s="2"/>
    </row>
    <row r="12" spans="1:26" ht="13.8" customHeight="1" thickTop="1" x14ac:dyDescent="0.3">
      <c r="A12" s="1"/>
      <c r="B12" s="8"/>
      <c r="C12" s="838"/>
      <c r="D12" s="839"/>
      <c r="E12" s="4"/>
      <c r="F12" s="838"/>
      <c r="G12" s="839"/>
      <c r="H12" s="4"/>
      <c r="I12" s="838"/>
      <c r="J12" s="839"/>
      <c r="K12" s="4"/>
      <c r="L12" s="838"/>
      <c r="M12" s="839"/>
      <c r="N12" s="4"/>
      <c r="O12" s="838"/>
      <c r="P12" s="839"/>
      <c r="Q12" s="9"/>
      <c r="R12" s="1"/>
      <c r="Z12" s="2"/>
    </row>
    <row r="13" spans="1:26" ht="13.8" customHeight="1" x14ac:dyDescent="0.3">
      <c r="A13" s="1"/>
      <c r="B13" s="8"/>
      <c r="C13" s="840"/>
      <c r="D13" s="841"/>
      <c r="E13" s="4"/>
      <c r="F13" s="840"/>
      <c r="G13" s="841"/>
      <c r="H13" s="15"/>
      <c r="I13" s="840"/>
      <c r="J13" s="841"/>
      <c r="K13" s="4"/>
      <c r="L13" s="840"/>
      <c r="M13" s="841"/>
      <c r="N13" s="4"/>
      <c r="O13" s="840"/>
      <c r="P13" s="841"/>
      <c r="Q13" s="9"/>
      <c r="R13" s="1"/>
      <c r="Z13" s="2"/>
    </row>
    <row r="14" spans="1:26" ht="13.8" customHeight="1" x14ac:dyDescent="0.3">
      <c r="A14" s="1"/>
      <c r="B14" s="8"/>
      <c r="C14" s="840"/>
      <c r="D14" s="841"/>
      <c r="E14" s="4"/>
      <c r="F14" s="840"/>
      <c r="G14" s="841"/>
      <c r="H14" s="15"/>
      <c r="I14" s="840"/>
      <c r="J14" s="841"/>
      <c r="K14" s="19"/>
      <c r="L14" s="840"/>
      <c r="M14" s="841"/>
      <c r="N14" s="4"/>
      <c r="O14" s="840"/>
      <c r="P14" s="841"/>
      <c r="Q14" s="9"/>
      <c r="R14" s="1"/>
      <c r="Z14" s="2"/>
    </row>
    <row r="15" spans="1:26" ht="13.8" customHeight="1" thickBot="1" x14ac:dyDescent="0.35">
      <c r="A15" s="1"/>
      <c r="B15" s="8"/>
      <c r="C15" s="842"/>
      <c r="D15" s="843"/>
      <c r="E15" s="4"/>
      <c r="F15" s="842"/>
      <c r="G15" s="843"/>
      <c r="H15" s="15"/>
      <c r="I15" s="842"/>
      <c r="J15" s="843"/>
      <c r="K15" s="19"/>
      <c r="L15" s="842"/>
      <c r="M15" s="843"/>
      <c r="N15" s="4"/>
      <c r="O15" s="842"/>
      <c r="P15" s="843"/>
      <c r="Q15" s="9"/>
      <c r="R15" s="1"/>
      <c r="Z15" s="2"/>
    </row>
    <row r="16" spans="1:26" ht="13.8" customHeight="1" thickTop="1" x14ac:dyDescent="0.3">
      <c r="A16" s="1"/>
      <c r="B16" s="364"/>
      <c r="C16" s="857" t="s">
        <v>2</v>
      </c>
      <c r="D16" s="857"/>
      <c r="E16" s="362"/>
      <c r="F16" s="857" t="s">
        <v>53</v>
      </c>
      <c r="G16" s="857"/>
      <c r="H16" s="365"/>
      <c r="I16" s="857" t="s">
        <v>427</v>
      </c>
      <c r="J16" s="857"/>
      <c r="K16" s="362"/>
      <c r="L16" s="854"/>
      <c r="M16" s="855"/>
      <c r="N16" s="362"/>
      <c r="O16" s="844" t="s">
        <v>428</v>
      </c>
      <c r="P16" s="844"/>
      <c r="Q16" s="9"/>
      <c r="R16" s="1"/>
      <c r="Z16" s="2"/>
    </row>
    <row r="17" spans="1:26" ht="13.8" customHeight="1" thickBot="1" x14ac:dyDescent="0.35">
      <c r="A17" s="1"/>
      <c r="B17" s="366"/>
      <c r="C17" s="858"/>
      <c r="D17" s="858"/>
      <c r="E17" s="363"/>
      <c r="F17" s="858"/>
      <c r="G17" s="858"/>
      <c r="H17" s="367"/>
      <c r="I17" s="858"/>
      <c r="J17" s="858"/>
      <c r="K17" s="368"/>
      <c r="L17" s="856"/>
      <c r="M17" s="856"/>
      <c r="N17" s="363"/>
      <c r="O17" s="845"/>
      <c r="P17" s="845"/>
      <c r="Q17" s="12"/>
      <c r="R17" s="1"/>
      <c r="Z17" s="2"/>
    </row>
    <row r="18" spans="1:26" ht="25.8" customHeight="1" thickTop="1" thickBot="1" x14ac:dyDescent="0.35">
      <c r="A18" s="1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1"/>
      <c r="R18" s="1"/>
      <c r="Z18" s="2"/>
    </row>
    <row r="19" spans="1:26" ht="15.6" thickTop="1" thickBot="1" x14ac:dyDescent="0.35">
      <c r="A19" s="1"/>
      <c r="B19" s="5"/>
      <c r="C19" s="6"/>
      <c r="D19" s="6"/>
      <c r="E19" s="6"/>
      <c r="F19" s="6"/>
      <c r="G19" s="6"/>
      <c r="H19" s="6"/>
      <c r="I19" s="6"/>
      <c r="J19" s="6"/>
      <c r="K19" s="382"/>
      <c r="L19" s="382"/>
      <c r="M19" s="339"/>
      <c r="N19" s="339"/>
      <c r="O19" s="339"/>
      <c r="P19" s="4"/>
      <c r="Q19" s="1"/>
      <c r="R19" s="1"/>
      <c r="Z19" s="2"/>
    </row>
    <row r="20" spans="1:26" ht="15" thickTop="1" x14ac:dyDescent="0.3">
      <c r="A20" s="1"/>
      <c r="B20" s="8"/>
      <c r="C20" s="838"/>
      <c r="D20" s="839"/>
      <c r="E20" s="108"/>
      <c r="F20" s="838"/>
      <c r="G20" s="839"/>
      <c r="H20" s="598"/>
      <c r="I20" s="838"/>
      <c r="J20" s="839"/>
      <c r="K20" s="382"/>
      <c r="L20" s="15"/>
      <c r="M20" s="15"/>
      <c r="N20" s="339"/>
      <c r="O20" s="339"/>
      <c r="P20" s="4"/>
      <c r="Q20" s="1"/>
      <c r="R20" s="1"/>
      <c r="Z20" s="2"/>
    </row>
    <row r="21" spans="1:26" x14ac:dyDescent="0.3">
      <c r="A21" s="1"/>
      <c r="B21" s="8"/>
      <c r="C21" s="840"/>
      <c r="D21" s="841"/>
      <c r="E21" s="108"/>
      <c r="F21" s="840"/>
      <c r="G21" s="841"/>
      <c r="H21" s="598"/>
      <c r="I21" s="840"/>
      <c r="J21" s="841"/>
      <c r="K21" s="382"/>
      <c r="L21" s="15"/>
      <c r="M21" s="15"/>
      <c r="N21" s="339"/>
      <c r="O21" s="339"/>
      <c r="P21" s="4"/>
      <c r="Q21" s="1"/>
      <c r="R21" s="1"/>
      <c r="Z21" s="2"/>
    </row>
    <row r="22" spans="1:26" ht="15" customHeight="1" x14ac:dyDescent="0.3">
      <c r="A22" s="1"/>
      <c r="B22" s="8"/>
      <c r="C22" s="840"/>
      <c r="D22" s="841"/>
      <c r="E22" s="108"/>
      <c r="F22" s="840"/>
      <c r="G22" s="841"/>
      <c r="H22" s="598"/>
      <c r="I22" s="840"/>
      <c r="J22" s="841"/>
      <c r="K22" s="386"/>
      <c r="L22" s="386"/>
      <c r="M22" s="15"/>
      <c r="N22" s="393"/>
      <c r="O22" s="339"/>
      <c r="P22" s="4"/>
      <c r="Q22" s="1"/>
      <c r="R22" s="1"/>
      <c r="Z22" s="2"/>
    </row>
    <row r="23" spans="1:26" ht="15" customHeight="1" thickBot="1" x14ac:dyDescent="0.35">
      <c r="A23" s="1"/>
      <c r="B23" s="8"/>
      <c r="C23" s="842"/>
      <c r="D23" s="843"/>
      <c r="E23" s="108"/>
      <c r="F23" s="842"/>
      <c r="G23" s="843"/>
      <c r="H23" s="598"/>
      <c r="I23" s="842"/>
      <c r="J23" s="843"/>
      <c r="K23" s="386"/>
      <c r="L23" s="386"/>
      <c r="M23" s="15"/>
      <c r="N23" s="393"/>
      <c r="O23" s="339"/>
      <c r="P23" s="4"/>
      <c r="Q23" s="1"/>
      <c r="R23" s="1"/>
      <c r="Z23" s="2"/>
    </row>
    <row r="24" spans="1:26" ht="15" customHeight="1" thickTop="1" x14ac:dyDescent="0.3">
      <c r="A24" s="1"/>
      <c r="B24" s="8"/>
      <c r="C24" s="859" t="s">
        <v>98</v>
      </c>
      <c r="D24" s="859"/>
      <c r="E24" s="362"/>
      <c r="F24" s="844" t="s">
        <v>429</v>
      </c>
      <c r="G24" s="844"/>
      <c r="H24" s="362"/>
      <c r="I24" s="844" t="s">
        <v>428</v>
      </c>
      <c r="J24" s="844"/>
      <c r="K24" s="382"/>
      <c r="L24" s="353"/>
      <c r="M24" s="353"/>
      <c r="N24" s="339"/>
      <c r="O24" s="339"/>
      <c r="P24" s="1"/>
      <c r="Q24" s="1"/>
      <c r="R24" s="1"/>
      <c r="Z24" s="2"/>
    </row>
    <row r="25" spans="1:26" ht="15" customHeight="1" thickBot="1" x14ac:dyDescent="0.35">
      <c r="A25" s="1"/>
      <c r="B25" s="10"/>
      <c r="C25" s="860"/>
      <c r="D25" s="860"/>
      <c r="E25" s="363"/>
      <c r="F25" s="845"/>
      <c r="G25" s="845"/>
      <c r="H25" s="363"/>
      <c r="I25" s="845"/>
      <c r="J25" s="845"/>
      <c r="K25" s="382"/>
      <c r="L25" s="353"/>
      <c r="M25" s="353"/>
      <c r="N25" s="339"/>
      <c r="O25" s="339"/>
      <c r="P25" s="1"/>
      <c r="Q25" s="1"/>
      <c r="R25" s="1"/>
      <c r="Z25" s="2"/>
    </row>
    <row r="26" spans="1:26" ht="15" thickTop="1" x14ac:dyDescent="0.3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  <c r="Z26" s="2"/>
    </row>
    <row r="27" spans="1:26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Z27" s="2"/>
    </row>
    <row r="28" spans="1:26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Z28" s="2"/>
    </row>
    <row r="29" spans="1:26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Z29" s="2"/>
    </row>
    <row r="30" spans="1:26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26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26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18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18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18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18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18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18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18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</sheetData>
  <mergeCells count="30">
    <mergeCell ref="O2:P2"/>
    <mergeCell ref="B2:D2"/>
    <mergeCell ref="C4:D7"/>
    <mergeCell ref="C12:D15"/>
    <mergeCell ref="L4:M7"/>
    <mergeCell ref="L12:M15"/>
    <mergeCell ref="O4:P7"/>
    <mergeCell ref="O12:P15"/>
    <mergeCell ref="C8:D8"/>
    <mergeCell ref="F8:G8"/>
    <mergeCell ref="I8:J8"/>
    <mergeCell ref="L8:M8"/>
    <mergeCell ref="O8:P8"/>
    <mergeCell ref="F4:G7"/>
    <mergeCell ref="F12:G15"/>
    <mergeCell ref="I4:J7"/>
    <mergeCell ref="C24:D25"/>
    <mergeCell ref="F24:G25"/>
    <mergeCell ref="C20:D23"/>
    <mergeCell ref="F20:G23"/>
    <mergeCell ref="F16:G17"/>
    <mergeCell ref="C16:D17"/>
    <mergeCell ref="I20:J23"/>
    <mergeCell ref="I24:J25"/>
    <mergeCell ref="V6:W9"/>
    <mergeCell ref="V10:W11"/>
    <mergeCell ref="I12:J15"/>
    <mergeCell ref="L16:M17"/>
    <mergeCell ref="O16:P17"/>
    <mergeCell ref="I16:J17"/>
  </mergeCell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9C863-358D-47FB-83D3-16CD1F396FF8}">
  <dimension ref="A1:Z39"/>
  <sheetViews>
    <sheetView workbookViewId="0">
      <selection activeCell="H4" sqref="H4:K10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82"/>
      <c r="B1" s="382"/>
      <c r="C1" s="382"/>
      <c r="D1" s="382"/>
      <c r="E1" s="382"/>
      <c r="F1" s="382"/>
      <c r="G1" s="382"/>
      <c r="H1" s="382"/>
      <c r="I1" s="382"/>
      <c r="J1" s="382"/>
      <c r="K1" s="382"/>
      <c r="L1" s="437"/>
      <c r="M1" s="437"/>
      <c r="N1" s="382"/>
      <c r="O1" s="382"/>
      <c r="P1" s="382"/>
      <c r="Q1" s="382"/>
      <c r="R1" s="382"/>
    </row>
    <row r="2" spans="1:26" ht="18" customHeight="1" x14ac:dyDescent="0.35">
      <c r="A2" s="382"/>
      <c r="B2" s="385"/>
      <c r="C2" s="385"/>
      <c r="D2" s="385"/>
      <c r="E2" s="382"/>
      <c r="F2" s="382"/>
      <c r="G2" s="382"/>
      <c r="H2" s="382"/>
      <c r="I2" s="382"/>
      <c r="J2" s="382"/>
      <c r="K2" s="382"/>
      <c r="L2" s="437"/>
      <c r="M2" s="437"/>
      <c r="N2" s="382"/>
      <c r="O2" s="15"/>
      <c r="P2" s="15"/>
      <c r="Q2" s="109"/>
      <c r="R2" s="109"/>
    </row>
    <row r="3" spans="1:26" ht="13.8" customHeight="1" thickBot="1" x14ac:dyDescent="0.35">
      <c r="A3" s="382"/>
      <c r="B3" s="382"/>
      <c r="C3" s="107"/>
      <c r="D3" s="382"/>
      <c r="E3" s="382"/>
      <c r="F3" s="382"/>
      <c r="G3" s="382"/>
      <c r="H3" s="382"/>
      <c r="I3" s="382"/>
      <c r="J3" s="107"/>
      <c r="K3" s="382"/>
      <c r="L3" s="437"/>
      <c r="M3" s="437"/>
      <c r="N3" s="382"/>
      <c r="O3" s="382"/>
      <c r="P3" s="382"/>
      <c r="Q3" s="382"/>
      <c r="R3" s="382"/>
    </row>
    <row r="4" spans="1:26" ht="13.8" customHeight="1" x14ac:dyDescent="0.3">
      <c r="A4" s="382"/>
      <c r="B4" s="382"/>
      <c r="C4" s="829" t="s">
        <v>286</v>
      </c>
      <c r="D4" s="830"/>
      <c r="E4" s="830"/>
      <c r="F4" s="831"/>
      <c r="G4" s="15"/>
      <c r="H4" s="829" t="s">
        <v>283</v>
      </c>
      <c r="I4" s="830"/>
      <c r="J4" s="830"/>
      <c r="K4" s="831"/>
      <c r="L4" s="438"/>
      <c r="M4" s="829" t="s">
        <v>342</v>
      </c>
      <c r="N4" s="830"/>
      <c r="O4" s="830"/>
      <c r="P4" s="831"/>
      <c r="Q4" s="382"/>
      <c r="R4" s="382"/>
      <c r="Z4" s="16"/>
    </row>
    <row r="5" spans="1:26" ht="13.8" customHeight="1" x14ac:dyDescent="0.3">
      <c r="A5" s="382"/>
      <c r="B5" s="382"/>
      <c r="C5" s="832"/>
      <c r="D5" s="833"/>
      <c r="E5" s="833"/>
      <c r="F5" s="834"/>
      <c r="G5" s="15"/>
      <c r="H5" s="832"/>
      <c r="I5" s="833"/>
      <c r="J5" s="833"/>
      <c r="K5" s="834"/>
      <c r="L5" s="438"/>
      <c r="M5" s="832"/>
      <c r="N5" s="833"/>
      <c r="O5" s="833"/>
      <c r="P5" s="834"/>
      <c r="Q5" s="382"/>
      <c r="R5" s="382"/>
      <c r="Z5" s="16"/>
    </row>
    <row r="6" spans="1:26" ht="13.8" customHeight="1" x14ac:dyDescent="0.3">
      <c r="A6" s="382"/>
      <c r="B6" s="382"/>
      <c r="C6" s="832"/>
      <c r="D6" s="833"/>
      <c r="E6" s="833"/>
      <c r="F6" s="834"/>
      <c r="G6" s="15"/>
      <c r="H6" s="832"/>
      <c r="I6" s="833"/>
      <c r="J6" s="833"/>
      <c r="K6" s="834"/>
      <c r="L6" s="438"/>
      <c r="M6" s="832"/>
      <c r="N6" s="833"/>
      <c r="O6" s="833"/>
      <c r="P6" s="834"/>
      <c r="Q6" s="382"/>
      <c r="R6" s="382"/>
      <c r="V6" s="83"/>
      <c r="W6" s="83"/>
      <c r="Z6" s="16"/>
    </row>
    <row r="7" spans="1:26" ht="13.8" customHeight="1" x14ac:dyDescent="0.3">
      <c r="A7" s="382"/>
      <c r="B7" s="382"/>
      <c r="C7" s="832"/>
      <c r="D7" s="833"/>
      <c r="E7" s="833"/>
      <c r="F7" s="834"/>
      <c r="G7" s="15"/>
      <c r="H7" s="832"/>
      <c r="I7" s="833"/>
      <c r="J7" s="833"/>
      <c r="K7" s="834"/>
      <c r="L7" s="438"/>
      <c r="M7" s="832"/>
      <c r="N7" s="833"/>
      <c r="O7" s="833"/>
      <c r="P7" s="834"/>
      <c r="Q7" s="382"/>
      <c r="R7" s="382"/>
      <c r="V7" s="83"/>
      <c r="W7" s="83"/>
      <c r="Z7" s="16"/>
    </row>
    <row r="8" spans="1:26" ht="13.8" customHeight="1" x14ac:dyDescent="0.3">
      <c r="A8" s="382"/>
      <c r="B8" s="362"/>
      <c r="C8" s="832"/>
      <c r="D8" s="833"/>
      <c r="E8" s="833"/>
      <c r="F8" s="834"/>
      <c r="G8" s="386"/>
      <c r="H8" s="832"/>
      <c r="I8" s="833"/>
      <c r="J8" s="833"/>
      <c r="K8" s="834"/>
      <c r="L8" s="438"/>
      <c r="M8" s="832"/>
      <c r="N8" s="833"/>
      <c r="O8" s="833"/>
      <c r="P8" s="834"/>
      <c r="Q8" s="382"/>
      <c r="R8" s="382"/>
      <c r="V8" s="83"/>
      <c r="W8" s="83"/>
      <c r="Z8" s="16"/>
    </row>
    <row r="9" spans="1:26" ht="13.8" customHeight="1" x14ac:dyDescent="0.3">
      <c r="A9" s="382"/>
      <c r="B9" s="382"/>
      <c r="C9" s="832"/>
      <c r="D9" s="833"/>
      <c r="E9" s="833"/>
      <c r="F9" s="834"/>
      <c r="G9" s="382"/>
      <c r="H9" s="832"/>
      <c r="I9" s="833"/>
      <c r="J9" s="833"/>
      <c r="K9" s="834"/>
      <c r="L9" s="438"/>
      <c r="M9" s="832"/>
      <c r="N9" s="833"/>
      <c r="O9" s="833"/>
      <c r="P9" s="834"/>
      <c r="Q9" s="382"/>
      <c r="R9" s="382"/>
      <c r="V9" s="83"/>
      <c r="W9" s="83"/>
      <c r="Z9" s="16"/>
    </row>
    <row r="10" spans="1:26" ht="23.4" customHeight="1" thickBot="1" x14ac:dyDescent="0.35">
      <c r="A10" s="382"/>
      <c r="B10" s="382"/>
      <c r="C10" s="835"/>
      <c r="D10" s="836"/>
      <c r="E10" s="836"/>
      <c r="F10" s="837"/>
      <c r="G10" s="382"/>
      <c r="H10" s="835"/>
      <c r="I10" s="836"/>
      <c r="J10" s="836"/>
      <c r="K10" s="837"/>
      <c r="L10" s="438"/>
      <c r="M10" s="835"/>
      <c r="N10" s="836"/>
      <c r="O10" s="836"/>
      <c r="P10" s="837"/>
      <c r="Q10" s="382"/>
      <c r="R10" s="382"/>
      <c r="V10" s="388"/>
      <c r="W10" s="388"/>
      <c r="Z10" s="16"/>
    </row>
    <row r="11" spans="1:26" ht="13.8" customHeight="1" x14ac:dyDescent="0.3">
      <c r="A11" s="382"/>
      <c r="B11" s="382"/>
      <c r="C11" s="107"/>
      <c r="D11" s="382"/>
      <c r="E11" s="382"/>
      <c r="F11" s="382"/>
      <c r="G11" s="382"/>
      <c r="H11" s="382"/>
      <c r="I11" s="382"/>
      <c r="J11" s="107"/>
      <c r="K11" s="382"/>
      <c r="L11" s="437"/>
      <c r="M11" s="437"/>
      <c r="N11" s="382"/>
      <c r="O11" s="382"/>
      <c r="P11" s="382"/>
      <c r="Q11" s="382"/>
      <c r="R11" s="382"/>
      <c r="V11" s="388"/>
      <c r="W11" s="388"/>
      <c r="Z11" s="16"/>
    </row>
    <row r="12" spans="1:26" ht="13.8" customHeight="1" x14ac:dyDescent="0.3">
      <c r="A12" s="382"/>
      <c r="B12" s="382"/>
      <c r="C12" s="15"/>
      <c r="D12" s="15"/>
      <c r="E12" s="382"/>
      <c r="F12" s="15"/>
      <c r="G12" s="15"/>
      <c r="H12" s="15"/>
      <c r="I12" s="382"/>
      <c r="J12" s="15"/>
      <c r="K12" s="15"/>
      <c r="L12" s="15"/>
      <c r="M12" s="15"/>
      <c r="N12" s="382"/>
      <c r="O12" s="15"/>
      <c r="P12" s="15"/>
      <c r="Q12" s="382"/>
      <c r="R12" s="382"/>
      <c r="Z12" s="16"/>
    </row>
    <row r="13" spans="1:26" ht="13.8" customHeight="1" thickBot="1" x14ac:dyDescent="0.35">
      <c r="A13" s="382"/>
      <c r="B13" s="382"/>
      <c r="C13" s="15"/>
      <c r="D13" s="15"/>
      <c r="E13" s="382"/>
      <c r="F13" s="15"/>
      <c r="G13" s="15"/>
      <c r="H13" s="15"/>
      <c r="I13" s="382"/>
      <c r="J13" s="15"/>
      <c r="K13" s="15"/>
      <c r="L13" s="15"/>
      <c r="M13" s="15"/>
      <c r="N13" s="382"/>
      <c r="O13" s="15"/>
      <c r="P13" s="15"/>
      <c r="Q13" s="382"/>
      <c r="R13" s="382"/>
      <c r="Z13" s="16"/>
    </row>
    <row r="14" spans="1:26" ht="13.8" customHeight="1" x14ac:dyDescent="0.3">
      <c r="A14" s="382"/>
      <c r="B14" s="382"/>
      <c r="C14" s="829" t="s">
        <v>284</v>
      </c>
      <c r="D14" s="830"/>
      <c r="E14" s="830"/>
      <c r="F14" s="831"/>
      <c r="G14" s="15"/>
      <c r="H14" s="829" t="s">
        <v>285</v>
      </c>
      <c r="I14" s="830"/>
      <c r="J14" s="830"/>
      <c r="K14" s="831"/>
      <c r="L14" s="438"/>
      <c r="M14" s="438"/>
      <c r="N14" s="382"/>
      <c r="O14" s="15"/>
      <c r="P14" s="15"/>
      <c r="Q14" s="382"/>
      <c r="R14" s="382"/>
      <c r="Z14" s="16"/>
    </row>
    <row r="15" spans="1:26" ht="13.8" customHeight="1" x14ac:dyDescent="0.3">
      <c r="A15" s="382"/>
      <c r="B15" s="382"/>
      <c r="C15" s="832"/>
      <c r="D15" s="833"/>
      <c r="E15" s="833"/>
      <c r="F15" s="834"/>
      <c r="G15" s="15"/>
      <c r="H15" s="832"/>
      <c r="I15" s="833"/>
      <c r="J15" s="833"/>
      <c r="K15" s="834"/>
      <c r="L15" s="438"/>
      <c r="M15" s="438"/>
      <c r="N15" s="382"/>
      <c r="O15" s="15"/>
      <c r="P15" s="15"/>
      <c r="Q15" s="382"/>
      <c r="R15" s="382"/>
      <c r="Z15" s="16"/>
    </row>
    <row r="16" spans="1:26" ht="13.8" customHeight="1" x14ac:dyDescent="0.3">
      <c r="A16" s="382"/>
      <c r="B16" s="362"/>
      <c r="C16" s="832"/>
      <c r="D16" s="833"/>
      <c r="E16" s="833"/>
      <c r="F16" s="834"/>
      <c r="G16" s="386"/>
      <c r="H16" s="832"/>
      <c r="I16" s="833"/>
      <c r="J16" s="833"/>
      <c r="K16" s="834"/>
      <c r="L16" s="438"/>
      <c r="M16" s="438"/>
      <c r="N16" s="362"/>
      <c r="O16" s="353"/>
      <c r="P16" s="353"/>
      <c r="Q16" s="382"/>
      <c r="R16" s="382"/>
      <c r="Z16" s="16"/>
    </row>
    <row r="17" spans="1:26" ht="13.8" customHeight="1" x14ac:dyDescent="0.3">
      <c r="A17" s="382"/>
      <c r="B17" s="362"/>
      <c r="C17" s="832"/>
      <c r="D17" s="833"/>
      <c r="E17" s="833"/>
      <c r="F17" s="834"/>
      <c r="G17" s="386"/>
      <c r="H17" s="832"/>
      <c r="I17" s="833"/>
      <c r="J17" s="833"/>
      <c r="K17" s="834"/>
      <c r="L17" s="438"/>
      <c r="M17" s="438"/>
      <c r="N17" s="362"/>
      <c r="O17" s="353"/>
      <c r="P17" s="353"/>
      <c r="Q17" s="382"/>
      <c r="R17" s="382"/>
      <c r="Z17" s="16"/>
    </row>
    <row r="18" spans="1:26" ht="25.8" customHeight="1" x14ac:dyDescent="0.3">
      <c r="A18" s="382"/>
      <c r="B18" s="382"/>
      <c r="C18" s="832"/>
      <c r="D18" s="833"/>
      <c r="E18" s="833"/>
      <c r="F18" s="834"/>
      <c r="G18" s="382"/>
      <c r="H18" s="832"/>
      <c r="I18" s="833"/>
      <c r="J18" s="833"/>
      <c r="K18" s="834"/>
      <c r="L18" s="438"/>
      <c r="M18" s="438"/>
      <c r="N18" s="382"/>
      <c r="O18" s="382"/>
      <c r="P18" s="382"/>
      <c r="Q18" s="382"/>
      <c r="R18" s="382"/>
      <c r="Z18" s="16"/>
    </row>
    <row r="19" spans="1:26" ht="14.4" customHeight="1" x14ac:dyDescent="0.3">
      <c r="A19" s="382"/>
      <c r="B19" s="382"/>
      <c r="C19" s="832"/>
      <c r="D19" s="833"/>
      <c r="E19" s="833"/>
      <c r="F19" s="834"/>
      <c r="G19" s="382"/>
      <c r="H19" s="832"/>
      <c r="I19" s="833"/>
      <c r="J19" s="833"/>
      <c r="K19" s="834"/>
      <c r="L19" s="438"/>
      <c r="M19" s="438"/>
      <c r="N19" s="382"/>
      <c r="O19" s="382"/>
      <c r="P19" s="382"/>
      <c r="Q19" s="382"/>
      <c r="R19" s="382"/>
      <c r="Z19" s="16"/>
    </row>
    <row r="20" spans="1:26" ht="14.4" customHeight="1" thickBot="1" x14ac:dyDescent="0.35">
      <c r="A20" s="382"/>
      <c r="B20" s="382"/>
      <c r="C20" s="835"/>
      <c r="D20" s="836"/>
      <c r="E20" s="836"/>
      <c r="F20" s="837"/>
      <c r="G20" s="15"/>
      <c r="H20" s="835"/>
      <c r="I20" s="836"/>
      <c r="J20" s="836"/>
      <c r="K20" s="837"/>
      <c r="L20" s="438"/>
      <c r="M20" s="438"/>
      <c r="N20" s="382"/>
      <c r="O20" s="382"/>
      <c r="P20" s="382"/>
      <c r="Q20" s="382"/>
      <c r="R20" s="382"/>
      <c r="Z20" s="16"/>
    </row>
    <row r="21" spans="1:26" ht="14.4" customHeight="1" x14ac:dyDescent="0.3">
      <c r="A21" s="382"/>
      <c r="B21" s="382"/>
      <c r="C21" s="15"/>
      <c r="D21" s="15"/>
      <c r="E21" s="382"/>
      <c r="F21" s="15"/>
      <c r="G21" s="15"/>
      <c r="H21" s="15"/>
      <c r="I21" s="382"/>
      <c r="J21" s="15"/>
      <c r="K21" s="15"/>
      <c r="L21" s="15"/>
      <c r="M21" s="15"/>
      <c r="N21" s="382"/>
      <c r="O21" s="382"/>
      <c r="P21" s="382"/>
      <c r="Q21" s="382"/>
      <c r="R21" s="382"/>
      <c r="Z21" s="16"/>
    </row>
    <row r="22" spans="1:26" ht="15" customHeight="1" x14ac:dyDescent="0.3">
      <c r="A22" s="382"/>
      <c r="B22" s="382"/>
      <c r="C22" s="15"/>
      <c r="D22" s="15"/>
      <c r="E22" s="382"/>
      <c r="F22" s="15"/>
      <c r="G22" s="15"/>
      <c r="H22" s="15"/>
      <c r="I22" s="382"/>
      <c r="J22" s="15"/>
      <c r="K22" s="15"/>
      <c r="L22" s="15"/>
      <c r="M22" s="15"/>
      <c r="N22" s="382"/>
      <c r="O22" s="382"/>
      <c r="P22" s="382"/>
      <c r="Q22" s="382"/>
      <c r="R22" s="382"/>
      <c r="Z22" s="16"/>
    </row>
    <row r="23" spans="1:26" ht="25.8" x14ac:dyDescent="0.45">
      <c r="A23" s="382"/>
      <c r="B23" s="382"/>
      <c r="C23" s="15"/>
      <c r="D23" s="15"/>
      <c r="E23" s="382"/>
      <c r="F23" s="15"/>
      <c r="G23" s="15"/>
      <c r="H23" s="464"/>
      <c r="I23" s="465"/>
      <c r="J23" s="468"/>
      <c r="K23" s="464"/>
      <c r="L23" s="464"/>
      <c r="M23" s="464"/>
      <c r="N23" s="382"/>
      <c r="O23" s="382"/>
      <c r="P23" s="382"/>
      <c r="Q23" s="382"/>
      <c r="R23" s="382"/>
      <c r="Z23" s="16"/>
    </row>
    <row r="24" spans="1:26" ht="15" customHeight="1" x14ac:dyDescent="0.3">
      <c r="A24" s="382"/>
      <c r="B24" s="382"/>
      <c r="C24" s="386"/>
      <c r="D24" s="386"/>
      <c r="E24" s="362"/>
      <c r="F24" s="353"/>
      <c r="G24" s="353"/>
      <c r="H24" s="466"/>
      <c r="I24" s="467"/>
      <c r="J24" s="466"/>
      <c r="K24" s="466"/>
      <c r="L24" s="466"/>
      <c r="M24" s="466"/>
      <c r="N24" s="382"/>
      <c r="O24" s="382"/>
      <c r="P24" s="382"/>
      <c r="Q24" s="382"/>
      <c r="R24" s="382"/>
      <c r="Z24" s="16"/>
    </row>
    <row r="25" spans="1:26" ht="15" customHeight="1" x14ac:dyDescent="0.45">
      <c r="A25" s="382"/>
      <c r="B25" s="382"/>
      <c r="C25" s="386"/>
      <c r="D25" s="386"/>
      <c r="E25" s="362"/>
      <c r="F25" s="353"/>
      <c r="G25" s="353"/>
      <c r="H25" s="466"/>
      <c r="I25" s="465"/>
      <c r="J25" s="466"/>
      <c r="K25" s="466"/>
      <c r="L25" s="466"/>
      <c r="M25" s="466"/>
      <c r="N25" s="382"/>
      <c r="O25" s="382"/>
      <c r="P25" s="382"/>
      <c r="Q25" s="382"/>
      <c r="R25" s="382"/>
      <c r="Z25" s="16"/>
    </row>
    <row r="26" spans="1:26" ht="14.4" customHeight="1" x14ac:dyDescent="0.45">
      <c r="A26" s="382"/>
      <c r="B26" s="382"/>
      <c r="C26" s="382"/>
      <c r="D26" s="382"/>
      <c r="E26" s="382"/>
      <c r="F26" s="382"/>
      <c r="G26" s="437"/>
      <c r="H26" s="465"/>
      <c r="I26" s="465"/>
      <c r="J26" s="465"/>
      <c r="K26" s="465"/>
      <c r="L26" s="465"/>
      <c r="M26" s="465"/>
      <c r="N26" s="382"/>
      <c r="O26" s="382"/>
      <c r="P26" s="382"/>
      <c r="Q26" s="382"/>
      <c r="R26" s="382"/>
      <c r="Z26" s="16"/>
    </row>
    <row r="27" spans="1:26" ht="14.4" customHeight="1" x14ac:dyDescent="0.45">
      <c r="A27" s="382"/>
      <c r="B27" s="382"/>
      <c r="C27" s="382"/>
      <c r="D27" s="382"/>
      <c r="E27" s="382"/>
      <c r="F27" s="382"/>
      <c r="G27" s="382"/>
      <c r="H27" s="465"/>
      <c r="I27" s="465"/>
      <c r="J27" s="465"/>
      <c r="K27" s="465"/>
      <c r="L27" s="465"/>
      <c r="M27" s="465"/>
      <c r="N27" s="382"/>
      <c r="O27" s="382"/>
      <c r="P27" s="382"/>
      <c r="Q27" s="382"/>
      <c r="R27" s="382"/>
      <c r="Z27" s="16"/>
    </row>
    <row r="28" spans="1:26" ht="14.4" customHeight="1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ht="14.4" customHeight="1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ht="15" customHeight="1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5">
    <mergeCell ref="M4:P10"/>
    <mergeCell ref="C4:F10"/>
    <mergeCell ref="H4:K10"/>
    <mergeCell ref="C14:F20"/>
    <mergeCell ref="H14:K20"/>
  </mergeCells>
  <hyperlinks>
    <hyperlink ref="C4:F10" location="Selection!A1" display="Hot suface" xr:uid="{4ACFC5BE-6B33-45D4-8191-A1CC8E860616}"/>
    <hyperlink ref="H4:K10" location="'Fire protection '!A1" display="Fire protection " xr:uid="{639C8F8A-4051-444F-820F-6195B105C1F2}"/>
    <hyperlink ref="C14:F20" location="TRaffic!A1" display="Traffic" xr:uid="{1B69A05A-1F14-4F05-922A-EEF5C32A721F}"/>
    <hyperlink ref="H14:K20" location="anyother!A1" display="any other safety issue " xr:uid="{6C90AAB4-24C4-4785-B20C-8141BA4D39EA}"/>
    <hyperlink ref="M4:P10" location="Housekeeping!A1" display="Housekeeping" xr:uid="{94B8DF04-3122-4411-9440-97D86A8181DF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A09539-09C3-4745-95C5-DE76823D84CB}">
  <dimension ref="A1:Z39"/>
  <sheetViews>
    <sheetView workbookViewId="0">
      <selection activeCell="G4" sqref="G4:J10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82"/>
      <c r="B1" s="382"/>
      <c r="C1" s="382"/>
      <c r="D1" s="382"/>
      <c r="E1" s="382"/>
      <c r="F1" s="382"/>
      <c r="G1" s="382"/>
      <c r="H1" s="382"/>
      <c r="I1" s="382"/>
      <c r="J1" s="382"/>
      <c r="K1" s="382"/>
      <c r="L1" s="382"/>
      <c r="M1" s="382"/>
      <c r="N1" s="382"/>
      <c r="O1" s="382"/>
      <c r="P1" s="382"/>
      <c r="Q1" s="382"/>
      <c r="R1" s="382"/>
    </row>
    <row r="2" spans="1:26" ht="18" customHeight="1" x14ac:dyDescent="0.35">
      <c r="A2" s="382"/>
      <c r="B2" s="385"/>
      <c r="C2" s="385"/>
      <c r="D2" s="382"/>
      <c r="E2" s="382"/>
      <c r="F2" s="382"/>
      <c r="G2" s="382"/>
      <c r="H2" s="382"/>
      <c r="I2" s="382"/>
      <c r="J2" s="382"/>
      <c r="K2" s="382"/>
      <c r="L2" s="382"/>
      <c r="M2" s="382"/>
      <c r="N2" s="15"/>
      <c r="O2" s="15"/>
      <c r="P2" s="15"/>
      <c r="Q2" s="109"/>
      <c r="R2" s="109"/>
    </row>
    <row r="3" spans="1:26" ht="13.8" customHeight="1" thickBot="1" x14ac:dyDescent="0.35">
      <c r="A3" s="382"/>
      <c r="B3" s="107"/>
      <c r="C3" s="382"/>
      <c r="D3" s="382"/>
      <c r="E3" s="382"/>
      <c r="F3" s="382"/>
      <c r="G3" s="382"/>
      <c r="H3" s="382"/>
      <c r="I3" s="107"/>
      <c r="J3" s="382"/>
      <c r="K3" s="382"/>
      <c r="L3" s="382"/>
      <c r="M3" s="382"/>
      <c r="N3" s="107"/>
      <c r="O3" s="382"/>
      <c r="P3" s="382"/>
      <c r="Q3" s="382"/>
      <c r="R3" s="382"/>
    </row>
    <row r="4" spans="1:26" ht="13.8" customHeight="1" x14ac:dyDescent="0.3">
      <c r="A4" s="382"/>
      <c r="B4" s="829" t="s">
        <v>344</v>
      </c>
      <c r="C4" s="830"/>
      <c r="D4" s="830"/>
      <c r="E4" s="831"/>
      <c r="F4" s="15"/>
      <c r="G4" s="829" t="s">
        <v>345</v>
      </c>
      <c r="H4" s="830"/>
      <c r="I4" s="830"/>
      <c r="J4" s="831"/>
      <c r="K4" s="389"/>
      <c r="L4" s="829" t="s">
        <v>292</v>
      </c>
      <c r="M4" s="830"/>
      <c r="N4" s="830"/>
      <c r="O4" s="831"/>
      <c r="P4" s="389"/>
      <c r="Q4" s="382"/>
      <c r="R4" s="382"/>
      <c r="Z4" s="16"/>
    </row>
    <row r="5" spans="1:26" ht="13.8" customHeight="1" x14ac:dyDescent="0.3">
      <c r="A5" s="382"/>
      <c r="B5" s="832"/>
      <c r="C5" s="833"/>
      <c r="D5" s="833"/>
      <c r="E5" s="834"/>
      <c r="F5" s="15"/>
      <c r="G5" s="832"/>
      <c r="H5" s="833"/>
      <c r="I5" s="833"/>
      <c r="J5" s="834"/>
      <c r="K5" s="389"/>
      <c r="L5" s="832"/>
      <c r="M5" s="833"/>
      <c r="N5" s="833"/>
      <c r="O5" s="834"/>
      <c r="P5" s="389"/>
      <c r="Q5" s="382"/>
      <c r="R5" s="382"/>
      <c r="Z5" s="16"/>
    </row>
    <row r="6" spans="1:26" ht="13.8" customHeight="1" x14ac:dyDescent="0.3">
      <c r="A6" s="382"/>
      <c r="B6" s="832"/>
      <c r="C6" s="833"/>
      <c r="D6" s="833"/>
      <c r="E6" s="834"/>
      <c r="F6" s="15"/>
      <c r="G6" s="832"/>
      <c r="H6" s="833"/>
      <c r="I6" s="833"/>
      <c r="J6" s="834"/>
      <c r="K6" s="389"/>
      <c r="L6" s="832"/>
      <c r="M6" s="833"/>
      <c r="N6" s="833"/>
      <c r="O6" s="834"/>
      <c r="P6" s="389"/>
      <c r="Q6" s="382"/>
      <c r="R6" s="382"/>
      <c r="V6" s="83"/>
      <c r="W6" s="83"/>
      <c r="Z6" s="16"/>
    </row>
    <row r="7" spans="1:26" ht="13.8" customHeight="1" x14ac:dyDescent="0.3">
      <c r="A7" s="382"/>
      <c r="B7" s="832"/>
      <c r="C7" s="833"/>
      <c r="D7" s="833"/>
      <c r="E7" s="834"/>
      <c r="F7" s="15"/>
      <c r="G7" s="832"/>
      <c r="H7" s="833"/>
      <c r="I7" s="833"/>
      <c r="J7" s="834"/>
      <c r="K7" s="389"/>
      <c r="L7" s="832"/>
      <c r="M7" s="833"/>
      <c r="N7" s="833"/>
      <c r="O7" s="834"/>
      <c r="P7" s="389"/>
      <c r="Q7" s="382"/>
      <c r="R7" s="382"/>
      <c r="V7" s="83"/>
      <c r="W7" s="83"/>
      <c r="Z7" s="16"/>
    </row>
    <row r="8" spans="1:26" ht="13.8" customHeight="1" x14ac:dyDescent="0.3">
      <c r="A8" s="382"/>
      <c r="B8" s="832"/>
      <c r="C8" s="833"/>
      <c r="D8" s="833"/>
      <c r="E8" s="834"/>
      <c r="F8" s="386"/>
      <c r="G8" s="832"/>
      <c r="H8" s="833"/>
      <c r="I8" s="833"/>
      <c r="J8" s="834"/>
      <c r="K8" s="389"/>
      <c r="L8" s="832"/>
      <c r="M8" s="833"/>
      <c r="N8" s="833"/>
      <c r="O8" s="834"/>
      <c r="P8" s="389"/>
      <c r="Q8" s="382"/>
      <c r="R8" s="382"/>
      <c r="V8" s="83"/>
      <c r="W8" s="83"/>
      <c r="Z8" s="16"/>
    </row>
    <row r="9" spans="1:26" ht="13.8" customHeight="1" x14ac:dyDescent="0.3">
      <c r="A9" s="382"/>
      <c r="B9" s="832"/>
      <c r="C9" s="833"/>
      <c r="D9" s="833"/>
      <c r="E9" s="834"/>
      <c r="F9" s="15"/>
      <c r="G9" s="832"/>
      <c r="H9" s="833"/>
      <c r="I9" s="833"/>
      <c r="J9" s="834"/>
      <c r="K9" s="389"/>
      <c r="L9" s="832"/>
      <c r="M9" s="833"/>
      <c r="N9" s="833"/>
      <c r="O9" s="834"/>
      <c r="P9" s="389"/>
      <c r="Q9" s="382"/>
      <c r="R9" s="382"/>
      <c r="V9" s="83"/>
      <c r="W9" s="83"/>
      <c r="Z9" s="16"/>
    </row>
    <row r="10" spans="1:26" ht="23.4" customHeight="1" thickBot="1" x14ac:dyDescent="0.35">
      <c r="A10" s="382"/>
      <c r="B10" s="835"/>
      <c r="C10" s="836"/>
      <c r="D10" s="836"/>
      <c r="E10" s="837"/>
      <c r="F10" s="382"/>
      <c r="G10" s="835"/>
      <c r="H10" s="836"/>
      <c r="I10" s="836"/>
      <c r="J10" s="837"/>
      <c r="K10" s="389"/>
      <c r="L10" s="835"/>
      <c r="M10" s="836"/>
      <c r="N10" s="836"/>
      <c r="O10" s="837"/>
      <c r="P10" s="389"/>
      <c r="Q10" s="382"/>
      <c r="R10" s="382"/>
      <c r="V10" s="388"/>
      <c r="W10" s="388"/>
      <c r="Z10" s="16"/>
    </row>
    <row r="11" spans="1:26" ht="13.8" customHeight="1" x14ac:dyDescent="0.3">
      <c r="A11" s="382"/>
      <c r="B11" s="107"/>
      <c r="C11" s="382"/>
      <c r="D11" s="382"/>
      <c r="E11" s="382"/>
      <c r="F11" s="382"/>
      <c r="G11" s="382"/>
      <c r="H11" s="382"/>
      <c r="I11" s="107"/>
      <c r="J11" s="382"/>
      <c r="K11" s="382"/>
      <c r="L11" s="382"/>
      <c r="M11" s="382"/>
      <c r="N11" s="107"/>
      <c r="O11" s="382"/>
      <c r="P11" s="382"/>
      <c r="Q11" s="382"/>
      <c r="R11" s="382"/>
      <c r="V11" s="388"/>
      <c r="W11" s="388"/>
      <c r="Z11" s="16"/>
    </row>
    <row r="12" spans="1:26" ht="13.8" customHeight="1" x14ac:dyDescent="0.3">
      <c r="A12" s="382"/>
      <c r="B12" s="15"/>
      <c r="C12" s="15"/>
      <c r="D12" s="382"/>
      <c r="E12" s="15"/>
      <c r="F12" s="15"/>
      <c r="G12" s="15"/>
      <c r="H12" s="382"/>
      <c r="I12" s="15"/>
      <c r="J12" s="15"/>
      <c r="K12" s="15"/>
      <c r="L12" s="15"/>
      <c r="M12" s="382"/>
      <c r="N12" s="15"/>
      <c r="O12" s="15"/>
      <c r="P12" s="15"/>
      <c r="Q12" s="382"/>
      <c r="R12" s="382"/>
      <c r="Z12" s="16"/>
    </row>
    <row r="13" spans="1:26" ht="13.8" customHeight="1" thickBot="1" x14ac:dyDescent="0.35">
      <c r="A13" s="382"/>
      <c r="B13" s="15"/>
      <c r="C13" s="15"/>
      <c r="D13" s="382"/>
      <c r="E13" s="15"/>
      <c r="F13" s="15"/>
      <c r="G13" s="15"/>
      <c r="H13" s="382"/>
      <c r="I13" s="15"/>
      <c r="J13" s="15"/>
      <c r="K13" s="15"/>
      <c r="L13" s="15"/>
      <c r="M13" s="382"/>
      <c r="N13" s="15"/>
      <c r="O13" s="15"/>
      <c r="P13" s="15"/>
      <c r="Q13" s="382"/>
      <c r="R13" s="382"/>
      <c r="Z13" s="16"/>
    </row>
    <row r="14" spans="1:26" ht="13.8" customHeight="1" x14ac:dyDescent="0.3">
      <c r="A14" s="382"/>
      <c r="B14" s="829" t="s">
        <v>287</v>
      </c>
      <c r="C14" s="830"/>
      <c r="D14" s="830"/>
      <c r="E14" s="831"/>
      <c r="F14" s="15"/>
      <c r="G14" s="829" t="s">
        <v>290</v>
      </c>
      <c r="H14" s="830"/>
      <c r="I14" s="830"/>
      <c r="J14" s="831"/>
      <c r="K14" s="389"/>
      <c r="L14" s="829" t="s">
        <v>291</v>
      </c>
      <c r="M14" s="830"/>
      <c r="N14" s="830"/>
      <c r="O14" s="831"/>
      <c r="P14" s="389"/>
      <c r="Q14" s="382"/>
      <c r="R14" s="382"/>
      <c r="Z14" s="16"/>
    </row>
    <row r="15" spans="1:26" ht="13.8" customHeight="1" x14ac:dyDescent="0.3">
      <c r="A15" s="382"/>
      <c r="B15" s="832"/>
      <c r="C15" s="833"/>
      <c r="D15" s="833"/>
      <c r="E15" s="834"/>
      <c r="F15" s="15"/>
      <c r="G15" s="832"/>
      <c r="H15" s="833"/>
      <c r="I15" s="833"/>
      <c r="J15" s="834"/>
      <c r="K15" s="389"/>
      <c r="L15" s="832"/>
      <c r="M15" s="833"/>
      <c r="N15" s="833"/>
      <c r="O15" s="834"/>
      <c r="P15" s="389"/>
      <c r="Q15" s="382"/>
      <c r="R15" s="382"/>
      <c r="Z15" s="16"/>
    </row>
    <row r="16" spans="1:26" ht="13.8" customHeight="1" x14ac:dyDescent="0.3">
      <c r="A16" s="382"/>
      <c r="B16" s="832"/>
      <c r="C16" s="833"/>
      <c r="D16" s="833"/>
      <c r="E16" s="834"/>
      <c r="F16" s="386"/>
      <c r="G16" s="832"/>
      <c r="H16" s="833"/>
      <c r="I16" s="833"/>
      <c r="J16" s="834"/>
      <c r="K16" s="389"/>
      <c r="L16" s="832"/>
      <c r="M16" s="833"/>
      <c r="N16" s="833"/>
      <c r="O16" s="834"/>
      <c r="P16" s="389"/>
      <c r="Q16" s="382"/>
      <c r="R16" s="382"/>
      <c r="Z16" s="16"/>
    </row>
    <row r="17" spans="1:26" ht="13.8" customHeight="1" x14ac:dyDescent="0.3">
      <c r="A17" s="382"/>
      <c r="B17" s="832"/>
      <c r="C17" s="833"/>
      <c r="D17" s="833"/>
      <c r="E17" s="834"/>
      <c r="F17" s="386"/>
      <c r="G17" s="832"/>
      <c r="H17" s="833"/>
      <c r="I17" s="833"/>
      <c r="J17" s="834"/>
      <c r="K17" s="389"/>
      <c r="L17" s="832"/>
      <c r="M17" s="833"/>
      <c r="N17" s="833"/>
      <c r="O17" s="834"/>
      <c r="P17" s="389"/>
      <c r="Q17" s="382"/>
      <c r="R17" s="382"/>
      <c r="Z17" s="16"/>
    </row>
    <row r="18" spans="1:26" ht="25.8" customHeight="1" x14ac:dyDescent="0.3">
      <c r="A18" s="382"/>
      <c r="B18" s="832"/>
      <c r="C18" s="833"/>
      <c r="D18" s="833"/>
      <c r="E18" s="834"/>
      <c r="F18" s="382"/>
      <c r="G18" s="832"/>
      <c r="H18" s="833"/>
      <c r="I18" s="833"/>
      <c r="J18" s="834"/>
      <c r="K18" s="389"/>
      <c r="L18" s="832"/>
      <c r="M18" s="833"/>
      <c r="N18" s="833"/>
      <c r="O18" s="834"/>
      <c r="P18" s="389"/>
      <c r="Q18" s="382"/>
      <c r="R18" s="382"/>
      <c r="Z18" s="16"/>
    </row>
    <row r="19" spans="1:26" ht="14.4" customHeight="1" x14ac:dyDescent="0.3">
      <c r="A19" s="382"/>
      <c r="B19" s="832"/>
      <c r="C19" s="833"/>
      <c r="D19" s="833"/>
      <c r="E19" s="834"/>
      <c r="F19" s="382"/>
      <c r="G19" s="832"/>
      <c r="H19" s="833"/>
      <c r="I19" s="833"/>
      <c r="J19" s="834"/>
      <c r="K19" s="389"/>
      <c r="L19" s="832"/>
      <c r="M19" s="833"/>
      <c r="N19" s="833"/>
      <c r="O19" s="834"/>
      <c r="P19" s="389"/>
      <c r="Q19" s="382"/>
      <c r="R19" s="382"/>
      <c r="Z19" s="16"/>
    </row>
    <row r="20" spans="1:26" ht="14.4" customHeight="1" thickBot="1" x14ac:dyDescent="0.35">
      <c r="A20" s="382"/>
      <c r="B20" s="835"/>
      <c r="C20" s="836"/>
      <c r="D20" s="836"/>
      <c r="E20" s="837"/>
      <c r="F20" s="15"/>
      <c r="G20" s="835"/>
      <c r="H20" s="836"/>
      <c r="I20" s="836"/>
      <c r="J20" s="837"/>
      <c r="K20" s="389"/>
      <c r="L20" s="835"/>
      <c r="M20" s="836"/>
      <c r="N20" s="836"/>
      <c r="O20" s="837"/>
      <c r="P20" s="389"/>
      <c r="Q20" s="382"/>
      <c r="R20" s="382"/>
      <c r="Z20" s="16"/>
    </row>
    <row r="21" spans="1:26" ht="14.4" customHeight="1" x14ac:dyDescent="0.3">
      <c r="A21" s="382"/>
      <c r="B21" s="15"/>
      <c r="C21" s="15"/>
      <c r="D21" s="382"/>
      <c r="E21" s="15"/>
      <c r="F21" s="15"/>
      <c r="G21" s="15"/>
      <c r="H21" s="382"/>
      <c r="I21" s="15"/>
      <c r="J21" s="15"/>
      <c r="K21" s="15"/>
      <c r="L21" s="15"/>
      <c r="M21" s="382"/>
      <c r="N21" s="15"/>
      <c r="O21" s="15"/>
      <c r="P21" s="15"/>
      <c r="Q21" s="382"/>
      <c r="R21" s="382"/>
      <c r="Z21" s="16"/>
    </row>
    <row r="22" spans="1:26" ht="15" customHeight="1" x14ac:dyDescent="0.3">
      <c r="A22" s="382"/>
      <c r="B22" s="15"/>
      <c r="C22" s="15"/>
      <c r="D22" s="382"/>
      <c r="E22" s="15"/>
      <c r="F22" s="15"/>
      <c r="G22" s="15"/>
      <c r="H22" s="382"/>
      <c r="I22" s="15"/>
      <c r="J22" s="15"/>
      <c r="K22" s="15"/>
      <c r="L22" s="15"/>
      <c r="M22" s="382"/>
      <c r="N22" s="15"/>
      <c r="O22" s="15"/>
      <c r="P22" s="15"/>
      <c r="Q22" s="382"/>
      <c r="R22" s="382"/>
      <c r="Z22" s="16"/>
    </row>
    <row r="23" spans="1:26" x14ac:dyDescent="0.3">
      <c r="A23" s="382"/>
      <c r="B23" s="15"/>
      <c r="C23" s="15"/>
      <c r="D23" s="382"/>
      <c r="E23" s="15"/>
      <c r="F23" s="15"/>
      <c r="G23" s="15"/>
      <c r="H23" s="382"/>
      <c r="I23" s="15"/>
      <c r="J23" s="15"/>
      <c r="K23" s="15"/>
      <c r="L23" s="15"/>
      <c r="M23" s="382"/>
      <c r="N23" s="382"/>
      <c r="O23" s="382"/>
      <c r="P23" s="382"/>
      <c r="Q23" s="382"/>
      <c r="R23" s="382"/>
      <c r="Z23" s="16"/>
    </row>
    <row r="24" spans="1:26" ht="15" customHeight="1" x14ac:dyDescent="0.3">
      <c r="A24" s="382"/>
      <c r="B24" s="386"/>
      <c r="C24" s="386"/>
      <c r="D24" s="362"/>
      <c r="E24" s="353"/>
      <c r="F24" s="353"/>
      <c r="G24" s="353"/>
      <c r="H24" s="382"/>
      <c r="I24" s="353"/>
      <c r="J24" s="353"/>
      <c r="K24" s="353"/>
      <c r="L24" s="353"/>
      <c r="M24" s="382"/>
      <c r="N24" s="382"/>
      <c r="O24" s="382"/>
      <c r="P24" s="382"/>
      <c r="Q24" s="382"/>
      <c r="R24" s="382"/>
      <c r="Z24" s="16"/>
    </row>
    <row r="25" spans="1:26" ht="15" customHeight="1" x14ac:dyDescent="0.3">
      <c r="A25" s="382"/>
      <c r="B25" s="386"/>
      <c r="C25" s="386"/>
      <c r="D25" s="362"/>
      <c r="E25" s="353"/>
      <c r="F25" s="353"/>
      <c r="G25" s="353"/>
      <c r="H25" s="382"/>
      <c r="I25" s="353"/>
      <c r="J25" s="353"/>
      <c r="K25" s="353"/>
      <c r="L25" s="353"/>
      <c r="M25" s="382"/>
      <c r="N25" s="382"/>
      <c r="O25" s="382"/>
      <c r="P25" s="382"/>
      <c r="Q25" s="382"/>
      <c r="R25" s="382"/>
      <c r="Z25" s="16"/>
    </row>
    <row r="26" spans="1:26" x14ac:dyDescent="0.3">
      <c r="A26" s="382"/>
      <c r="B26" s="382"/>
      <c r="C26" s="382"/>
      <c r="D26" s="382"/>
      <c r="E26" s="382"/>
      <c r="F26" s="382"/>
      <c r="G26" s="382"/>
      <c r="H26" s="382"/>
      <c r="I26" s="382"/>
      <c r="J26" s="382"/>
      <c r="K26" s="382"/>
      <c r="L26" s="382"/>
      <c r="M26" s="382"/>
      <c r="N26" s="382"/>
      <c r="O26" s="382"/>
      <c r="P26" s="382"/>
      <c r="Q26" s="382"/>
      <c r="R26" s="382"/>
      <c r="Z26" s="16"/>
    </row>
    <row r="27" spans="1:26" x14ac:dyDescent="0.3">
      <c r="A27" s="382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382"/>
      <c r="N27" s="382"/>
      <c r="O27" s="382"/>
      <c r="P27" s="382"/>
      <c r="Q27" s="382"/>
      <c r="R27" s="382"/>
      <c r="Z27" s="16"/>
    </row>
    <row r="28" spans="1:26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6">
    <mergeCell ref="B4:E10"/>
    <mergeCell ref="G4:J10"/>
    <mergeCell ref="B14:E20"/>
    <mergeCell ref="G14:J20"/>
    <mergeCell ref="L4:O10"/>
    <mergeCell ref="L14:O20"/>
  </mergeCells>
  <hyperlinks>
    <hyperlink ref="B4:E10" location="Cladding!A1" display="Damaged insulation /cladding" xr:uid="{DD313CC1-52A6-4A6E-BEC8-C6DDC05A3383}"/>
    <hyperlink ref="G4:J10" location="'Structure '!A1" display="Structural" xr:uid="{6D6DC8ED-D2B6-4A7F-869F-D812E060A033}"/>
    <hyperlink ref="L4:O10" location="'Wet Ice'!A1" display="Ice blocks &amp; wet surfaces" xr:uid="{264050E1-B65C-4574-B3D9-35DF78D89BAD}"/>
    <hyperlink ref="G14:J20" location="'Mechanical&amp;Electrical'!A1" display="'Mechanical&amp;Electrical'!A1" xr:uid="{2F3CAA86-0DAA-4961-9C6B-262BD59899D8}"/>
    <hyperlink ref="L14:O20" location="'Mechanical&amp;Electrical'!A1" display="'Mechanical&amp;Electrical'!A1" xr:uid="{B1C6A4C9-132D-4691-AC2F-C12FD876ECA0}"/>
    <hyperlink ref="B14:E20" location="Leakage!A1" display="Leakage" xr:uid="{888AE052-9CE4-4773-A5BC-26D324E3C37B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28</vt:i4>
      </vt:variant>
      <vt:variant>
        <vt:lpstr>Named Ranges</vt:lpstr>
      </vt:variant>
      <vt:variant>
        <vt:i4>5</vt:i4>
      </vt:variant>
    </vt:vector>
  </HeadingPairs>
  <TitlesOfParts>
    <vt:vector size="33" baseType="lpstr">
      <vt:lpstr>Structure</vt:lpstr>
      <vt:lpstr>Summary v2</vt:lpstr>
      <vt:lpstr>Summary</vt:lpstr>
      <vt:lpstr>TBi</vt:lpstr>
      <vt:lpstr>Project </vt:lpstr>
      <vt:lpstr>Intro</vt:lpstr>
      <vt:lpstr>Selection</vt:lpstr>
      <vt:lpstr>Safety report</vt:lpstr>
      <vt:lpstr>Maintenance report</vt:lpstr>
      <vt:lpstr>basic report </vt:lpstr>
      <vt:lpstr>Surface</vt:lpstr>
      <vt:lpstr>Pipe</vt:lpstr>
      <vt:lpstr>Flange</vt:lpstr>
      <vt:lpstr>Valve</vt:lpstr>
      <vt:lpstr>Unknow surface</vt:lpstr>
      <vt:lpstr>I Surface</vt:lpstr>
      <vt:lpstr>I Pipe</vt:lpstr>
      <vt:lpstr>Insulated Unknown surface</vt:lpstr>
      <vt:lpstr>Damaged</vt:lpstr>
      <vt:lpstr>Energy</vt:lpstr>
      <vt:lpstr>Condensation</vt:lpstr>
      <vt:lpstr>Leakage</vt:lpstr>
      <vt:lpstr>Summary default values </vt:lpstr>
      <vt:lpstr>Default values </vt:lpstr>
      <vt:lpstr>Warning list </vt:lpstr>
      <vt:lpstr>TBi advise</vt:lpstr>
      <vt:lpstr>todo</vt:lpstr>
      <vt:lpstr>Andreas</vt:lpstr>
      <vt:lpstr>_3000_hours</vt:lpstr>
      <vt:lpstr>emissivity</vt:lpstr>
      <vt:lpstr>operational_time</vt:lpstr>
      <vt:lpstr>Safety_risk</vt:lpstr>
      <vt:lpstr>Surface_emisivity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lulobru</dc:creator>
  <cp:lastModifiedBy>lulobru</cp:lastModifiedBy>
  <dcterms:created xsi:type="dcterms:W3CDTF">2018-02-27T08:07:49Z</dcterms:created>
  <dcterms:modified xsi:type="dcterms:W3CDTF">2018-09-21T10:55:06Z</dcterms:modified>
</cp:coreProperties>
</file>